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6"/>
  </bookViews>
  <sheets>
    <sheet name="Contents" sheetId="1" r:id="rId1"/>
    <sheet name="Flanges" sheetId="2" r:id="rId2"/>
    <sheet name="H O profiles" sheetId="3" r:id="rId3"/>
    <sheet name="Z - Profiles" sheetId="4" r:id="rId4"/>
    <sheet name="W - profiles" sheetId="5" r:id="rId5"/>
    <sheet name="n - profiles (arc)" sheetId="6" r:id="rId6"/>
    <sheet name="Arbitrary compact" sheetId="7" r:id="rId7"/>
  </sheets>
  <calcPr calcId="152511"/>
</workbook>
</file>

<file path=xl/calcChain.xml><?xml version="1.0" encoding="utf-8"?>
<calcChain xmlns="http://schemas.openxmlformats.org/spreadsheetml/2006/main">
  <c r="K34" i="7" l="1"/>
  <c r="G24" i="7" s="1"/>
  <c r="C45" i="7"/>
  <c r="C44" i="7"/>
  <c r="C43" i="7"/>
  <c r="C42" i="7"/>
  <c r="C41" i="7"/>
  <c r="C40" i="7"/>
  <c r="C39" i="7"/>
  <c r="C38" i="7"/>
  <c r="C37" i="7"/>
  <c r="C36" i="7"/>
  <c r="K35" i="7"/>
  <c r="C54" i="7" s="1"/>
  <c r="G45" i="7" l="1"/>
  <c r="G44" i="7" s="1"/>
  <c r="G43" i="7" s="1"/>
  <c r="G42" i="7" s="1"/>
  <c r="G41" i="7" s="1"/>
  <c r="G40" i="7" s="1"/>
  <c r="G39" i="7" s="1"/>
  <c r="G38" i="7" s="1"/>
  <c r="G37" i="7" s="1"/>
  <c r="G36" i="7" s="1"/>
  <c r="G47" i="7" s="1"/>
  <c r="C47" i="7"/>
  <c r="C49" i="7"/>
  <c r="G49" i="7" s="1"/>
  <c r="K51" i="7"/>
  <c r="C53" i="7"/>
  <c r="G53" i="7" s="1"/>
  <c r="C55" i="7"/>
  <c r="C48" i="7"/>
  <c r="K48" i="7"/>
  <c r="K50" i="7"/>
  <c r="K52" i="7"/>
  <c r="K54" i="7"/>
  <c r="K56" i="7"/>
  <c r="C52" i="7"/>
  <c r="G52" i="7" s="1"/>
  <c r="C51" i="7"/>
  <c r="C50" i="7"/>
  <c r="G50" i="7" s="1"/>
  <c r="K47" i="7"/>
  <c r="K49" i="7"/>
  <c r="K53" i="7"/>
  <c r="K55" i="7"/>
  <c r="C56" i="7"/>
  <c r="G48" i="7"/>
  <c r="G19" i="5"/>
  <c r="G20" i="5"/>
  <c r="G23" i="4"/>
  <c r="G22" i="3"/>
  <c r="G23" i="3"/>
  <c r="G19" i="2"/>
  <c r="G20" i="2"/>
  <c r="G54" i="7" l="1"/>
  <c r="G51" i="7"/>
  <c r="G55" i="7"/>
  <c r="K36" i="7"/>
  <c r="G22" i="7" s="1"/>
  <c r="G56" i="7"/>
  <c r="J30" i="6"/>
  <c r="K37" i="7" l="1"/>
  <c r="K38" i="7" s="1"/>
  <c r="O49" i="7" s="1"/>
  <c r="E19" i="6"/>
  <c r="O55" i="7" l="1"/>
  <c r="O52" i="7"/>
  <c r="O54" i="7"/>
  <c r="O47" i="7"/>
  <c r="O53" i="7"/>
  <c r="O50" i="7"/>
  <c r="O51" i="7"/>
  <c r="O56" i="7"/>
  <c r="O48" i="7"/>
  <c r="C26" i="6"/>
  <c r="G20" i="6" s="1"/>
  <c r="K39" i="7" l="1"/>
  <c r="K42" i="7" s="1"/>
  <c r="C23" i="5"/>
  <c r="C24" i="5" s="1"/>
  <c r="K40" i="7" l="1"/>
  <c r="K43" i="7" s="1"/>
  <c r="K41" i="7"/>
  <c r="K44" i="7" s="1"/>
  <c r="G20" i="7" s="1"/>
  <c r="J23" i="5"/>
  <c r="C23" i="6"/>
  <c r="J26" i="6" s="1"/>
  <c r="J28" i="6" s="1"/>
  <c r="G21" i="7" l="1"/>
  <c r="G23" i="7" s="1"/>
  <c r="J27" i="6"/>
  <c r="J29" i="6" s="1"/>
  <c r="J31" i="6" s="1"/>
  <c r="J32" i="6" s="1"/>
  <c r="G19" i="6"/>
  <c r="C25" i="6"/>
  <c r="C27" i="6" s="1"/>
  <c r="C28" i="6" s="1"/>
  <c r="C24" i="6"/>
  <c r="Q22" i="6"/>
  <c r="C29" i="6" l="1"/>
  <c r="C30" i="6" s="1"/>
  <c r="G30" i="6" s="1"/>
  <c r="O26" i="6"/>
  <c r="O29" i="6"/>
  <c r="O28" i="6"/>
  <c r="O31" i="6" s="1"/>
  <c r="G29" i="6" l="1"/>
  <c r="C31" i="6"/>
  <c r="G31" i="6" s="1"/>
  <c r="S22" i="6"/>
  <c r="O32" i="6"/>
  <c r="O33" i="6" s="1"/>
  <c r="O34" i="6" s="1"/>
  <c r="S23" i="6" s="1"/>
  <c r="O30" i="6"/>
  <c r="S21" i="6" l="1"/>
  <c r="C26" i="5" l="1"/>
  <c r="J27" i="5" s="1"/>
  <c r="G22" i="4"/>
  <c r="C31" i="4"/>
  <c r="C30" i="4"/>
  <c r="J25" i="5" l="1"/>
  <c r="J24" i="5"/>
  <c r="C27" i="5"/>
  <c r="C25" i="5"/>
  <c r="C29" i="4"/>
  <c r="C28" i="5" l="1"/>
  <c r="C29" i="5" s="1"/>
  <c r="C30" i="5"/>
  <c r="G30" i="5" s="1"/>
  <c r="J26" i="5"/>
  <c r="J28" i="5" s="1"/>
  <c r="J29" i="5" s="1"/>
  <c r="C28" i="3"/>
  <c r="C32" i="5" l="1"/>
  <c r="G32" i="5" s="1"/>
  <c r="C31" i="5"/>
  <c r="G31" i="5" s="1"/>
  <c r="C32" i="4"/>
  <c r="C33" i="4" s="1"/>
  <c r="C29" i="3"/>
  <c r="C30" i="3"/>
  <c r="C23" i="2"/>
  <c r="C25" i="2" s="1"/>
  <c r="G17" i="6" l="1"/>
  <c r="G18" i="6" s="1"/>
  <c r="G21" i="6" s="1"/>
  <c r="G17" i="5"/>
  <c r="G18" i="5" s="1"/>
  <c r="C34" i="4"/>
  <c r="C35" i="4"/>
  <c r="C31" i="3"/>
  <c r="C32" i="3" s="1"/>
  <c r="C24" i="2"/>
  <c r="C26" i="2" s="1"/>
  <c r="C36" i="4" l="1"/>
  <c r="G36" i="4" s="1"/>
  <c r="C33" i="3"/>
  <c r="C34" i="3"/>
  <c r="C27" i="2"/>
  <c r="C28" i="2"/>
  <c r="C38" i="4" l="1"/>
  <c r="G38" i="4" s="1"/>
  <c r="C37" i="4"/>
  <c r="C35" i="3"/>
  <c r="C37" i="3" s="1"/>
  <c r="G37" i="3" s="1"/>
  <c r="C29" i="2"/>
  <c r="G29" i="2" s="1"/>
  <c r="G37" i="4" l="1"/>
  <c r="G20" i="4" s="1"/>
  <c r="G21" i="4" s="1"/>
  <c r="G24" i="4" s="1"/>
  <c r="G35" i="3"/>
  <c r="C36" i="3"/>
  <c r="G36" i="3" s="1"/>
  <c r="G20" i="3" s="1"/>
  <c r="C31" i="2"/>
  <c r="G31" i="2" s="1"/>
  <c r="C30" i="2"/>
  <c r="G30" i="2" s="1"/>
  <c r="G21" i="3" l="1"/>
  <c r="G17" i="2"/>
  <c r="G18" i="2" s="1"/>
</calcChain>
</file>

<file path=xl/sharedStrings.xml><?xml version="1.0" encoding="utf-8"?>
<sst xmlns="http://schemas.openxmlformats.org/spreadsheetml/2006/main" count="490" uniqueCount="154">
  <si>
    <t>Input</t>
  </si>
  <si>
    <t>S</t>
  </si>
  <si>
    <t>t</t>
  </si>
  <si>
    <t>w</t>
  </si>
  <si>
    <t>mm</t>
  </si>
  <si>
    <t>Intermediate calculation</t>
  </si>
  <si>
    <t>Output</t>
  </si>
  <si>
    <t>Mainly vertical loading</t>
  </si>
  <si>
    <t>Mainly lateral loading</t>
  </si>
  <si>
    <t>For</t>
  </si>
  <si>
    <t>A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</si>
  <si>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</si>
  <si>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</t>
    </r>
    <r>
      <rPr>
        <vertAlign val="subscript"/>
        <sz val="11"/>
        <color theme="1"/>
        <rFont val="Symbol"/>
        <family val="1"/>
        <charset val="2"/>
      </rPr>
      <t>x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</si>
  <si>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</si>
  <si>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</t>
    </r>
    <r>
      <rPr>
        <vertAlign val="subscript"/>
        <sz val="11"/>
        <color theme="1"/>
        <rFont val="Symbol"/>
        <family val="1"/>
        <charset val="2"/>
      </rPr>
      <t>0</t>
    </r>
  </si>
  <si>
    <r>
      <t>I</t>
    </r>
    <r>
      <rPr>
        <vertAlign val="subscript"/>
        <sz val="11"/>
        <color theme="1"/>
        <rFont val="Calibri"/>
        <family val="2"/>
        <scheme val="minor"/>
      </rPr>
      <t>body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</si>
  <si>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</si>
  <si>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I</t>
    </r>
    <r>
      <rPr>
        <vertAlign val="subscript"/>
        <sz val="11"/>
        <color theme="1"/>
        <rFont val="Calibri"/>
        <family val="2"/>
        <scheme val="minor"/>
      </rPr>
      <t>total</t>
    </r>
  </si>
  <si>
    <t>Spreadsheet</t>
  </si>
  <si>
    <t>Flanges</t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</si>
  <si>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</si>
  <si>
    <r>
      <t>t</t>
    </r>
    <r>
      <rPr>
        <vertAlign val="subscript"/>
        <sz val="11"/>
        <color theme="1"/>
        <rFont val="Calibri"/>
        <family val="2"/>
        <scheme val="minor"/>
      </rPr>
      <t>1</t>
    </r>
  </si>
  <si>
    <r>
      <t>I</t>
    </r>
    <r>
      <rPr>
        <vertAlign val="subscript"/>
        <sz val="11"/>
        <color theme="1"/>
        <rFont val="Calibri"/>
        <family val="2"/>
        <scheme val="minor"/>
      </rPr>
      <t>flange</t>
    </r>
  </si>
  <si>
    <r>
      <t>I</t>
    </r>
    <r>
      <rPr>
        <vertAlign val="subscript"/>
        <sz val="11"/>
        <color theme="1"/>
        <rFont val="Calibri"/>
        <family val="2"/>
        <scheme val="minor"/>
      </rPr>
      <t>flange,1</t>
    </r>
  </si>
  <si>
    <r>
      <t>I</t>
    </r>
    <r>
      <rPr>
        <vertAlign val="subscript"/>
        <sz val="11"/>
        <color theme="1"/>
        <rFont val="Calibri"/>
        <family val="2"/>
        <scheme val="minor"/>
      </rPr>
      <t>flange,2</t>
    </r>
  </si>
  <si>
    <t>Z - profile</t>
  </si>
  <si>
    <r>
      <t>S</t>
    </r>
    <r>
      <rPr>
        <vertAlign val="subscript"/>
        <sz val="11"/>
        <color theme="1"/>
        <rFont val="Calibri"/>
        <family val="2"/>
        <scheme val="minor"/>
      </rPr>
      <t>1</t>
    </r>
  </si>
  <si>
    <r>
      <t>S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</si>
  <si>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mm </t>
  </si>
  <si>
    <t>Unit length</t>
  </si>
  <si>
    <t xml:space="preserve"> </t>
  </si>
  <si>
    <t>a</t>
  </si>
  <si>
    <t>o</t>
  </si>
  <si>
    <r>
      <t>L</t>
    </r>
    <r>
      <rPr>
        <vertAlign val="subscript"/>
        <sz val="11"/>
        <color theme="1"/>
        <rFont val="Calibri"/>
        <family val="2"/>
        <scheme val="minor"/>
      </rPr>
      <t>one flange</t>
    </r>
  </si>
  <si>
    <t>h</t>
  </si>
  <si>
    <r>
      <t>t</t>
    </r>
    <r>
      <rPr>
        <vertAlign val="subscript"/>
        <sz val="11"/>
        <color theme="1"/>
        <rFont val="Calibri"/>
        <family val="2"/>
        <scheme val="minor"/>
      </rPr>
      <t>horizontal</t>
    </r>
  </si>
  <si>
    <r>
      <t>L</t>
    </r>
    <r>
      <rPr>
        <vertAlign val="subscript"/>
        <sz val="11"/>
        <color theme="1"/>
        <rFont val="Calibri"/>
        <family val="2"/>
        <scheme val="minor"/>
      </rPr>
      <t>1</t>
    </r>
  </si>
  <si>
    <r>
      <t>L</t>
    </r>
    <r>
      <rPr>
        <vertAlign val="subscript"/>
        <sz val="11"/>
        <color theme="1"/>
        <rFont val="Calibri"/>
        <family val="2"/>
        <scheme val="minor"/>
      </rPr>
      <t>2</t>
    </r>
  </si>
  <si>
    <r>
      <t>t</t>
    </r>
    <r>
      <rPr>
        <vertAlign val="subscript"/>
        <sz val="11"/>
        <color theme="1"/>
        <rFont val="Calibri"/>
        <family val="2"/>
        <scheme val="minor"/>
      </rPr>
      <t>1,horizontal</t>
    </r>
  </si>
  <si>
    <r>
      <t>t</t>
    </r>
    <r>
      <rPr>
        <vertAlign val="subscript"/>
        <sz val="11"/>
        <color theme="1"/>
        <rFont val="Calibri"/>
        <family val="2"/>
        <scheme val="minor"/>
      </rPr>
      <t>equivalent</t>
    </r>
  </si>
  <si>
    <r>
      <t>L</t>
    </r>
    <r>
      <rPr>
        <vertAlign val="subscript"/>
        <sz val="11"/>
        <color theme="1"/>
        <rFont val="Calibri"/>
        <family val="2"/>
        <scheme val="minor"/>
      </rPr>
      <t>equivalent</t>
    </r>
  </si>
  <si>
    <t>b</t>
  </si>
  <si>
    <r>
      <t>I</t>
    </r>
    <r>
      <rPr>
        <vertAlign val="subscript"/>
        <sz val="11"/>
        <color theme="1"/>
        <rFont val="Calibri"/>
        <family val="2"/>
        <scheme val="minor"/>
      </rPr>
      <t>stiffening wall</t>
    </r>
  </si>
  <si>
    <r>
      <t>I</t>
    </r>
    <r>
      <rPr>
        <vertAlign val="subscript"/>
        <sz val="11"/>
        <color theme="1"/>
        <rFont val="Calibri"/>
        <family val="2"/>
        <scheme val="minor"/>
      </rPr>
      <t>regarded wall</t>
    </r>
  </si>
  <si>
    <r>
      <t>I</t>
    </r>
    <r>
      <rPr>
        <vertAlign val="subscript"/>
        <sz val="11"/>
        <color theme="1"/>
        <rFont val="Calibri"/>
        <family val="2"/>
        <scheme val="minor"/>
      </rPr>
      <t>stifF.</t>
    </r>
    <r>
      <rPr>
        <sz val="11"/>
        <color theme="1"/>
        <rFont val="Calibri"/>
        <family val="2"/>
        <scheme val="minor"/>
      </rPr>
      <t>/I</t>
    </r>
    <r>
      <rPr>
        <vertAlign val="subscript"/>
        <sz val="11"/>
        <color theme="1"/>
        <rFont val="Calibri"/>
        <family val="2"/>
        <scheme val="minor"/>
      </rPr>
      <t>regard.</t>
    </r>
  </si>
  <si>
    <t>W -profile</t>
  </si>
  <si>
    <t>n - profile</t>
  </si>
  <si>
    <t>R</t>
  </si>
  <si>
    <t>v</t>
  </si>
  <si>
    <t>rad</t>
  </si>
  <si>
    <t>Pi</t>
  </si>
  <si>
    <t>k</t>
  </si>
  <si>
    <t>v(gr)</t>
  </si>
  <si>
    <t>gr</t>
  </si>
  <si>
    <t>k/h</t>
  </si>
  <si>
    <t>x1</t>
  </si>
  <si>
    <t>y1</t>
  </si>
  <si>
    <r>
      <t>Z</t>
    </r>
    <r>
      <rPr>
        <vertAlign val="subscript"/>
        <sz val="11"/>
        <color theme="1"/>
        <rFont val="Calibri"/>
        <family val="2"/>
        <scheme val="minor"/>
      </rPr>
      <t>1</t>
    </r>
  </si>
  <si>
    <r>
      <t>Z</t>
    </r>
    <r>
      <rPr>
        <vertAlign val="subscript"/>
        <sz val="11"/>
        <color theme="1"/>
        <rFont val="Calibri"/>
        <family val="2"/>
        <scheme val="minor"/>
      </rPr>
      <t>2</t>
    </r>
  </si>
  <si>
    <r>
      <t>t</t>
    </r>
    <r>
      <rPr>
        <vertAlign val="subscript"/>
        <sz val="11"/>
        <color theme="1"/>
        <rFont val="Calibri"/>
        <family val="2"/>
        <scheme val="minor"/>
      </rPr>
      <t>ef</t>
    </r>
  </si>
  <si>
    <r>
      <t>t</t>
    </r>
    <r>
      <rPr>
        <vertAlign val="subscript"/>
        <sz val="11"/>
        <color theme="1"/>
        <rFont val="Calibri"/>
        <family val="2"/>
        <scheme val="minor"/>
      </rPr>
      <t>ef,I</t>
    </r>
  </si>
  <si>
    <t>Arcs</t>
  </si>
  <si>
    <t>pi</t>
  </si>
  <si>
    <r>
      <t>t</t>
    </r>
    <r>
      <rPr>
        <vertAlign val="subscript"/>
        <sz val="11"/>
        <color theme="1"/>
        <rFont val="Calibri"/>
        <family val="2"/>
        <scheme val="minor"/>
      </rPr>
      <t>body</t>
    </r>
  </si>
  <si>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body</t>
    </r>
  </si>
  <si>
    <t>Stiffening walls - active:</t>
  </si>
  <si>
    <t>α</t>
  </si>
  <si>
    <r>
      <t>α</t>
    </r>
    <r>
      <rPr>
        <vertAlign val="superscript"/>
        <sz val="11"/>
        <color theme="1"/>
        <rFont val="Calibri"/>
        <family val="2"/>
      </rPr>
      <t>'</t>
    </r>
  </si>
  <si>
    <r>
      <t xml:space="preserve">a </t>
    </r>
    <r>
      <rPr>
        <u/>
        <sz val="11"/>
        <color theme="1"/>
        <rFont val="Symbol"/>
        <family val="1"/>
        <charset val="2"/>
      </rPr>
      <t>&gt;</t>
    </r>
    <r>
      <rPr>
        <sz val="11"/>
        <color theme="1"/>
        <rFont val="Symbol"/>
        <family val="1"/>
        <charset val="2"/>
      </rPr>
      <t xml:space="preserve"> 90</t>
    </r>
  </si>
  <si>
    <t>3 or 4 -sided</t>
  </si>
  <si>
    <r>
      <t>t</t>
    </r>
    <r>
      <rPr>
        <vertAlign val="subscript"/>
        <sz val="11"/>
        <color theme="1"/>
        <rFont val="Calibri"/>
        <family val="2"/>
        <scheme val="minor"/>
      </rPr>
      <t>ef,Z1</t>
    </r>
  </si>
  <si>
    <r>
      <t>t</t>
    </r>
    <r>
      <rPr>
        <vertAlign val="subscript"/>
        <sz val="11"/>
        <color theme="1"/>
        <rFont val="Calibri"/>
        <family val="2"/>
        <scheme val="minor"/>
      </rPr>
      <t>ef,Z2</t>
    </r>
  </si>
  <si>
    <r>
      <t>A</t>
    </r>
    <r>
      <rPr>
        <vertAlign val="subscript"/>
        <sz val="11"/>
        <color theme="1"/>
        <rFont val="Calibri"/>
        <family val="2"/>
        <scheme val="minor"/>
      </rPr>
      <t>ef</t>
    </r>
  </si>
  <si>
    <t>H O profiles</t>
  </si>
  <si>
    <t xml:space="preserve">Arbitrary compact </t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</si>
  <si>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</si>
  <si>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</si>
  <si>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</si>
  <si>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5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</si>
  <si>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6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</si>
  <si>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7</t>
    </r>
  </si>
  <si>
    <r>
      <rPr>
        <sz val="11"/>
        <color theme="1"/>
        <rFont val="Calibri"/>
        <family val="2"/>
        <scheme val="minor"/>
      </rPr>
      <t>w</t>
    </r>
    <r>
      <rPr>
        <vertAlign val="subscript"/>
        <sz val="11"/>
        <color theme="1"/>
        <rFont val="Calibri"/>
        <family val="2"/>
        <scheme val="minor"/>
      </rPr>
      <t>9</t>
    </r>
  </si>
  <si>
    <r>
      <t>w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(bottom edge)</t>
    </r>
  </si>
  <si>
    <r>
      <rPr>
        <sz val="11"/>
        <color theme="1"/>
        <rFont val="Verdana"/>
        <family val="2"/>
      </rPr>
      <t>Δ</t>
    </r>
    <r>
      <rPr>
        <sz val="11"/>
        <color theme="1"/>
        <rFont val="Calibri"/>
        <family val="2"/>
      </rPr>
      <t>t</t>
    </r>
  </si>
  <si>
    <r>
      <t>w</t>
    </r>
    <r>
      <rPr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(top edge)</t>
    </r>
  </si>
  <si>
    <r>
      <t>w</t>
    </r>
    <r>
      <rPr>
        <vertAlign val="subscript"/>
        <sz val="11"/>
        <color theme="1"/>
        <rFont val="Calibri"/>
        <family val="2"/>
        <scheme val="minor"/>
      </rPr>
      <t xml:space="preserve">1 </t>
    </r>
  </si>
  <si>
    <r>
      <t>b</t>
    </r>
    <r>
      <rPr>
        <vertAlign val="subscript"/>
        <sz val="11"/>
        <color theme="1"/>
        <rFont val="Calibri"/>
        <family val="2"/>
        <scheme val="minor"/>
      </rPr>
      <t xml:space="preserve">1 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</si>
  <si>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</si>
  <si>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</si>
  <si>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</si>
  <si>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5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</si>
  <si>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6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</si>
  <si>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7</t>
    </r>
  </si>
  <si>
    <r>
      <rPr>
        <sz val="11"/>
        <color theme="1"/>
        <rFont val="Calibri"/>
        <family val="2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9</t>
    </r>
  </si>
  <si>
    <r>
      <t>b</t>
    </r>
    <r>
      <rPr>
        <vertAlign val="subscript"/>
        <sz val="11"/>
        <color theme="1"/>
        <rFont val="Calibri"/>
        <family val="2"/>
        <scheme val="minor"/>
      </rPr>
      <t>10</t>
    </r>
  </si>
  <si>
    <t>Area of elements</t>
  </si>
  <si>
    <r>
      <t>A</t>
    </r>
    <r>
      <rPr>
        <vertAlign val="subscript"/>
        <sz val="11"/>
        <color theme="1"/>
        <rFont val="Calibri"/>
        <family val="2"/>
        <scheme val="minor"/>
      </rPr>
      <t xml:space="preserve">1 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</si>
  <si>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</si>
  <si>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</si>
  <si>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</si>
  <si>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5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</si>
  <si>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6</t>
    </r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</si>
  <si>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7</t>
    </r>
  </si>
  <si>
    <t>A8</t>
  </si>
  <si>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9</t>
    </r>
  </si>
  <si>
    <r>
      <t>A</t>
    </r>
    <r>
      <rPr>
        <vertAlign val="subscript"/>
        <sz val="11"/>
        <color theme="1"/>
        <rFont val="Calibri"/>
        <family val="2"/>
        <scheme val="minor"/>
      </rPr>
      <t>10</t>
    </r>
  </si>
  <si>
    <t>Distance to x-axis</t>
  </si>
  <si>
    <r>
      <t>b</t>
    </r>
    <r>
      <rPr>
        <vertAlign val="subscript"/>
        <sz val="11"/>
        <color theme="1"/>
        <rFont val="Calibri"/>
        <family val="2"/>
        <scheme val="minor"/>
      </rPr>
      <t>8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</si>
  <si>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</si>
  <si>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</si>
  <si>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</si>
  <si>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</si>
  <si>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5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</si>
  <si>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6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</si>
  <si>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7</t>
    </r>
  </si>
  <si>
    <r>
      <t>x</t>
    </r>
    <r>
      <rPr>
        <vertAlign val="subscript"/>
        <sz val="11"/>
        <color theme="1"/>
        <rFont val="Calibri"/>
        <family val="2"/>
        <scheme val="minor"/>
      </rPr>
      <t>8</t>
    </r>
  </si>
  <si>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9</t>
    </r>
  </si>
  <si>
    <r>
      <t>x</t>
    </r>
    <r>
      <rPr>
        <vertAlign val="subscript"/>
        <sz val="11"/>
        <color theme="1"/>
        <rFont val="Calibri"/>
        <family val="2"/>
        <scheme val="minor"/>
      </rPr>
      <t>10</t>
    </r>
  </si>
  <si>
    <r>
      <t>S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</si>
  <si>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t>S</t>
    </r>
    <r>
      <rPr>
        <vertAlign val="subscript"/>
        <sz val="11"/>
        <color theme="1"/>
        <rFont val="Calibri"/>
        <family val="2"/>
        <scheme val="minor"/>
      </rPr>
      <t>3</t>
    </r>
  </si>
  <si>
    <r>
      <t>S</t>
    </r>
    <r>
      <rPr>
        <vertAlign val="subscript"/>
        <sz val="11"/>
        <color theme="1"/>
        <rFont val="Calibri"/>
        <family val="2"/>
        <scheme val="minor"/>
      </rPr>
      <t>4</t>
    </r>
  </si>
  <si>
    <r>
      <t>S</t>
    </r>
    <r>
      <rPr>
        <vertAlign val="subscript"/>
        <sz val="11"/>
        <color theme="1"/>
        <rFont val="Calibri"/>
        <family val="2"/>
        <scheme val="minor"/>
      </rPr>
      <t>5</t>
    </r>
  </si>
  <si>
    <r>
      <t>S</t>
    </r>
    <r>
      <rPr>
        <vertAlign val="subscript"/>
        <sz val="11"/>
        <color theme="1"/>
        <rFont val="Calibri"/>
        <family val="2"/>
        <scheme val="minor"/>
      </rPr>
      <t>6</t>
    </r>
  </si>
  <si>
    <r>
      <t>S</t>
    </r>
    <r>
      <rPr>
        <vertAlign val="subscript"/>
        <sz val="11"/>
        <color theme="1"/>
        <rFont val="Calibri"/>
        <family val="2"/>
        <scheme val="minor"/>
      </rPr>
      <t>7</t>
    </r>
  </si>
  <si>
    <r>
      <t>S</t>
    </r>
    <r>
      <rPr>
        <vertAlign val="subscript"/>
        <sz val="11"/>
        <color theme="1"/>
        <rFont val="Calibri"/>
        <family val="2"/>
        <scheme val="minor"/>
      </rPr>
      <t>8</t>
    </r>
  </si>
  <si>
    <r>
      <t>S</t>
    </r>
    <r>
      <rPr>
        <vertAlign val="subscript"/>
        <sz val="11"/>
        <color theme="1"/>
        <rFont val="Calibri"/>
        <family val="2"/>
        <scheme val="minor"/>
      </rPr>
      <t>9</t>
    </r>
  </si>
  <si>
    <r>
      <t>S</t>
    </r>
    <r>
      <rPr>
        <vertAlign val="subscript"/>
        <sz val="11"/>
        <color theme="1"/>
        <rFont val="Calibri"/>
        <family val="2"/>
        <scheme val="minor"/>
      </rPr>
      <t>10</t>
    </r>
  </si>
  <si>
    <t>Moment of 1.order</t>
  </si>
  <si>
    <t>Moment of 2.order of elements</t>
  </si>
  <si>
    <t>Average width of elements</t>
  </si>
  <si>
    <t>Max w</t>
  </si>
  <si>
    <r>
      <t>w</t>
    </r>
    <r>
      <rPr>
        <vertAlign val="subscript"/>
        <sz val="11"/>
        <color theme="1"/>
        <rFont val="Calibri"/>
        <family val="2"/>
        <scheme val="minor"/>
      </rPr>
      <t>8</t>
    </r>
  </si>
  <si>
    <r>
      <t>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</si>
  <si>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t>i</t>
    </r>
    <r>
      <rPr>
        <vertAlign val="subscript"/>
        <sz val="11"/>
        <color theme="1"/>
        <rFont val="Calibri"/>
        <family val="2"/>
        <scheme val="minor"/>
      </rPr>
      <t>2</t>
    </r>
  </si>
  <si>
    <r>
      <t>i</t>
    </r>
    <r>
      <rPr>
        <vertAlign val="subscript"/>
        <sz val="11"/>
        <color theme="1"/>
        <rFont val="Calibri"/>
        <family val="2"/>
        <scheme val="minor"/>
      </rPr>
      <t>3</t>
    </r>
  </si>
  <si>
    <r>
      <t>i</t>
    </r>
    <r>
      <rPr>
        <vertAlign val="subscript"/>
        <sz val="11"/>
        <color theme="1"/>
        <rFont val="Calibri"/>
        <family val="2"/>
        <scheme val="minor"/>
      </rPr>
      <t>4</t>
    </r>
  </si>
  <si>
    <r>
      <t>i</t>
    </r>
    <r>
      <rPr>
        <vertAlign val="subscript"/>
        <sz val="11"/>
        <color theme="1"/>
        <rFont val="Calibri"/>
        <family val="2"/>
        <scheme val="minor"/>
      </rPr>
      <t>5</t>
    </r>
  </si>
  <si>
    <r>
      <t>i</t>
    </r>
    <r>
      <rPr>
        <vertAlign val="subscript"/>
        <sz val="11"/>
        <color theme="1"/>
        <rFont val="Calibri"/>
        <family val="2"/>
        <scheme val="minor"/>
      </rPr>
      <t>6</t>
    </r>
  </si>
  <si>
    <r>
      <t>i</t>
    </r>
    <r>
      <rPr>
        <vertAlign val="subscript"/>
        <sz val="11"/>
        <color theme="1"/>
        <rFont val="Calibri"/>
        <family val="2"/>
        <scheme val="minor"/>
      </rPr>
      <t>7</t>
    </r>
  </si>
  <si>
    <r>
      <t>i</t>
    </r>
    <r>
      <rPr>
        <vertAlign val="subscript"/>
        <sz val="11"/>
        <color theme="1"/>
        <rFont val="Calibri"/>
        <family val="2"/>
        <scheme val="minor"/>
      </rPr>
      <t>8</t>
    </r>
  </si>
  <si>
    <r>
      <t>i</t>
    </r>
    <r>
      <rPr>
        <vertAlign val="subscript"/>
        <sz val="11"/>
        <color theme="1"/>
        <rFont val="Calibri"/>
        <family val="2"/>
        <scheme val="minor"/>
      </rPr>
      <t>9</t>
    </r>
  </si>
  <si>
    <r>
      <t>i</t>
    </r>
    <r>
      <rPr>
        <vertAlign val="subscript"/>
        <sz val="11"/>
        <color theme="1"/>
        <rFont val="Calibri"/>
        <family val="2"/>
        <scheme val="minor"/>
      </rPr>
      <t>10</t>
    </r>
  </si>
  <si>
    <r>
      <t xml:space="preserve">Moments of 2. order to </t>
    </r>
    <r>
      <rPr>
        <sz val="11"/>
        <color theme="1"/>
        <rFont val="Symbol"/>
        <family val="1"/>
        <charset val="2"/>
      </rPr>
      <t>h</t>
    </r>
    <r>
      <rPr>
        <vertAlign val="subscript"/>
        <sz val="11"/>
        <color theme="1"/>
        <rFont val="Calibri"/>
        <family val="2"/>
        <scheme val="minor"/>
      </rPr>
      <t>0</t>
    </r>
  </si>
  <si>
    <r>
      <t>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</si>
  <si>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t>I</t>
    </r>
    <r>
      <rPr>
        <vertAlign val="subscript"/>
        <sz val="11"/>
        <color theme="1"/>
        <rFont val="Calibri"/>
        <family val="2"/>
        <scheme val="minor"/>
      </rPr>
      <t>2</t>
    </r>
  </si>
  <si>
    <r>
      <t>I</t>
    </r>
    <r>
      <rPr>
        <vertAlign val="subscript"/>
        <sz val="11"/>
        <color theme="1"/>
        <rFont val="Calibri"/>
        <family val="2"/>
        <scheme val="minor"/>
      </rPr>
      <t>3</t>
    </r>
  </si>
  <si>
    <r>
      <t>I</t>
    </r>
    <r>
      <rPr>
        <vertAlign val="subscript"/>
        <sz val="11"/>
        <color theme="1"/>
        <rFont val="Calibri"/>
        <family val="2"/>
        <scheme val="minor"/>
      </rPr>
      <t>4</t>
    </r>
  </si>
  <si>
    <r>
      <t>I</t>
    </r>
    <r>
      <rPr>
        <vertAlign val="subscript"/>
        <sz val="11"/>
        <color theme="1"/>
        <rFont val="Calibri"/>
        <family val="2"/>
        <scheme val="minor"/>
      </rPr>
      <t>5</t>
    </r>
  </si>
  <si>
    <r>
      <t>I</t>
    </r>
    <r>
      <rPr>
        <vertAlign val="subscript"/>
        <sz val="11"/>
        <color theme="1"/>
        <rFont val="Calibri"/>
        <family val="2"/>
        <scheme val="minor"/>
      </rPr>
      <t>6</t>
    </r>
  </si>
  <si>
    <r>
      <t>I</t>
    </r>
    <r>
      <rPr>
        <vertAlign val="subscript"/>
        <sz val="11"/>
        <color theme="1"/>
        <rFont val="Calibri"/>
        <family val="2"/>
        <scheme val="minor"/>
      </rPr>
      <t>7</t>
    </r>
  </si>
  <si>
    <r>
      <t>I</t>
    </r>
    <r>
      <rPr>
        <vertAlign val="subscript"/>
        <sz val="11"/>
        <color theme="1"/>
        <rFont val="Calibri"/>
        <family val="2"/>
        <scheme val="minor"/>
      </rPr>
      <t>8</t>
    </r>
  </si>
  <si>
    <r>
      <t>I</t>
    </r>
    <r>
      <rPr>
        <vertAlign val="subscript"/>
        <sz val="11"/>
        <color theme="1"/>
        <rFont val="Calibri"/>
        <family val="2"/>
        <scheme val="minor"/>
      </rPr>
      <t>9</t>
    </r>
  </si>
  <si>
    <r>
      <t>I</t>
    </r>
    <r>
      <rPr>
        <vertAlign val="subscript"/>
        <sz val="11"/>
        <color theme="1"/>
        <rFont val="Calibri"/>
        <family val="2"/>
        <scheme val="minor"/>
      </rPr>
      <t>10</t>
    </r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</si>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</sst>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Symbol"/>
      <family val="1"/>
      <charset val="2"/>
    </font>
    <font>
      <vertAlign val="superscript"/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u/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1" fontId="0" fillId="0" borderId="0" xfId="0" applyNumberFormat="1"/>
    <xf numFmtId="1" fontId="0" fillId="3" borderId="1" xfId="0" applyNumberFormat="1" applyFill="1" applyBorder="1"/>
    <xf numFmtId="0" fontId="2" fillId="0" borderId="0" xfId="0" applyFont="1"/>
    <xf numFmtId="0" fontId="6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2" fontId="0" fillId="0" borderId="0" xfId="0" applyNumberFormat="1"/>
    <xf numFmtId="0" fontId="7" fillId="0" borderId="0" xfId="0" applyFont="1"/>
    <xf numFmtId="165" fontId="0" fillId="0" borderId="0" xfId="0" applyNumberFormat="1"/>
    <xf numFmtId="0" fontId="9" fillId="0" borderId="0" xfId="0" applyFont="1"/>
    <xf numFmtId="166" fontId="0" fillId="0" borderId="0" xfId="0" applyNumberFormat="1"/>
    <xf numFmtId="0" fontId="11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166" fontId="0" fillId="0" borderId="0" xfId="0" applyNumberFormat="1" applyBorder="1"/>
    <xf numFmtId="0" fontId="0" fillId="0" borderId="6" xfId="0" applyBorder="1"/>
    <xf numFmtId="0" fontId="0" fillId="0" borderId="5" xfId="0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0" xfId="0" applyFont="1"/>
    <xf numFmtId="0" fontId="0" fillId="0" borderId="0" xfId="0" applyBorder="1"/>
    <xf numFmtId="0" fontId="0" fillId="0" borderId="2" xfId="0" applyBorder="1"/>
    <xf numFmtId="0" fontId="2" fillId="0" borderId="5" xfId="0" applyFont="1" applyBorder="1"/>
    <xf numFmtId="0" fontId="0" fillId="0" borderId="5" xfId="0" applyFont="1" applyBorder="1"/>
    <xf numFmtId="1" fontId="0" fillId="0" borderId="8" xfId="0" applyNumberFormat="1" applyBorder="1"/>
    <xf numFmtId="1" fontId="0" fillId="0" borderId="3" xfId="0" applyNumberFormat="1" applyBorder="1"/>
    <xf numFmtId="0" fontId="7" fillId="0" borderId="0" xfId="0" applyFont="1" applyFill="1" applyBorder="1"/>
    <xf numFmtId="0" fontId="0" fillId="0" borderId="5" xfId="0" applyFont="1" applyFill="1" applyBorder="1"/>
    <xf numFmtId="0" fontId="0" fillId="0" borderId="7" xfId="0" applyFont="1" applyBorder="1"/>
    <xf numFmtId="0" fontId="0" fillId="0" borderId="2" xfId="0" applyFont="1" applyBorder="1"/>
    <xf numFmtId="0" fontId="0" fillId="0" borderId="0" xfId="0" applyFont="1" applyFill="1" applyBorder="1"/>
    <xf numFmtId="0" fontId="0" fillId="2" borderId="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10</xdr:row>
      <xdr:rowOff>1</xdr:rowOff>
    </xdr:from>
    <xdr:to>
      <xdr:col>6</xdr:col>
      <xdr:colOff>508559</xdr:colOff>
      <xdr:row>20</xdr:row>
      <xdr:rowOff>169333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" y="1905001"/>
          <a:ext cx="4180975" cy="2074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560917</xdr:colOff>
      <xdr:row>9</xdr:row>
      <xdr:rowOff>3118</xdr:rowOff>
    </xdr:to>
    <xdr:pic>
      <xdr:nvPicPr>
        <xdr:cNvPr id="10" name="Billed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243917" cy="171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137583</xdr:rowOff>
    </xdr:from>
    <xdr:to>
      <xdr:col>6</xdr:col>
      <xdr:colOff>419100</xdr:colOff>
      <xdr:row>37</xdr:row>
      <xdr:rowOff>89958</xdr:rowOff>
    </xdr:to>
    <xdr:pic>
      <xdr:nvPicPr>
        <xdr:cNvPr id="11" name="Billed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8083"/>
          <a:ext cx="410210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52917</xdr:colOff>
      <xdr:row>38</xdr:row>
      <xdr:rowOff>0</xdr:rowOff>
    </xdr:from>
    <xdr:to>
      <xdr:col>6</xdr:col>
      <xdr:colOff>412750</xdr:colOff>
      <xdr:row>56</xdr:row>
      <xdr:rowOff>72963</xdr:rowOff>
    </xdr:to>
    <xdr:pic>
      <xdr:nvPicPr>
        <xdr:cNvPr id="12" name="Billed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7239000"/>
          <a:ext cx="4042833" cy="3501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57</xdr:row>
      <xdr:rowOff>10583</xdr:rowOff>
    </xdr:from>
    <xdr:to>
      <xdr:col>9</xdr:col>
      <xdr:colOff>364184</xdr:colOff>
      <xdr:row>68</xdr:row>
      <xdr:rowOff>0</xdr:rowOff>
    </xdr:to>
    <xdr:pic>
      <xdr:nvPicPr>
        <xdr:cNvPr id="13" name="Billed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0869083"/>
          <a:ext cx="5825184" cy="208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52917</xdr:colOff>
      <xdr:row>69</xdr:row>
      <xdr:rowOff>52917</xdr:rowOff>
    </xdr:from>
    <xdr:to>
      <xdr:col>9</xdr:col>
      <xdr:colOff>349250</xdr:colOff>
      <xdr:row>79</xdr:row>
      <xdr:rowOff>173628</xdr:rowOff>
    </xdr:to>
    <xdr:pic>
      <xdr:nvPicPr>
        <xdr:cNvPr id="14" name="Billede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3197417"/>
          <a:ext cx="5820833" cy="2025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80</xdr:row>
      <xdr:rowOff>52917</xdr:rowOff>
    </xdr:from>
    <xdr:to>
      <xdr:col>6</xdr:col>
      <xdr:colOff>317501</xdr:colOff>
      <xdr:row>96</xdr:row>
      <xdr:rowOff>2362</xdr:rowOff>
    </xdr:to>
    <xdr:pic>
      <xdr:nvPicPr>
        <xdr:cNvPr id="15" name="Billede 1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92917"/>
          <a:ext cx="4000500" cy="2997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10583</xdr:colOff>
      <xdr:row>97</xdr:row>
      <xdr:rowOff>31750</xdr:rowOff>
    </xdr:from>
    <xdr:to>
      <xdr:col>6</xdr:col>
      <xdr:colOff>338667</xdr:colOff>
      <xdr:row>117</xdr:row>
      <xdr:rowOff>177793</xdr:rowOff>
    </xdr:to>
    <xdr:pic>
      <xdr:nvPicPr>
        <xdr:cNvPr id="17" name="Billede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8510250"/>
          <a:ext cx="4011084" cy="395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114300</xdr:rowOff>
    </xdr:from>
    <xdr:to>
      <xdr:col>10</xdr:col>
      <xdr:colOff>161925</xdr:colOff>
      <xdr:row>13</xdr:row>
      <xdr:rowOff>85725</xdr:rowOff>
    </xdr:to>
    <xdr:pic>
      <xdr:nvPicPr>
        <xdr:cNvPr id="4" name="Billed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6010275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123825</xdr:colOff>
      <xdr:row>16</xdr:row>
      <xdr:rowOff>28575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6162675" cy="3057525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0</xdr:row>
      <xdr:rowOff>66675</xdr:rowOff>
    </xdr:from>
    <xdr:to>
      <xdr:col>16</xdr:col>
      <xdr:colOff>209550</xdr:colOff>
      <xdr:row>16</xdr:row>
      <xdr:rowOff>19050</xdr:rowOff>
    </xdr:to>
    <xdr:pic>
      <xdr:nvPicPr>
        <xdr:cNvPr id="4" name="Billed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66675"/>
          <a:ext cx="407670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542925</xdr:colOff>
      <xdr:row>15</xdr:row>
      <xdr:rowOff>91475</xdr:rowOff>
    </xdr:to>
    <xdr:pic>
      <xdr:nvPicPr>
        <xdr:cNvPr id="3" name="Billed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381375" cy="2948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600075</xdr:colOff>
      <xdr:row>13</xdr:row>
      <xdr:rowOff>56354</xdr:rowOff>
    </xdr:to>
    <xdr:pic>
      <xdr:nvPicPr>
        <xdr:cNvPr id="4" name="Billed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029450" cy="2532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609599</xdr:colOff>
      <xdr:row>20</xdr:row>
      <xdr:rowOff>171449</xdr:rowOff>
    </xdr:from>
    <xdr:to>
      <xdr:col>18</xdr:col>
      <xdr:colOff>9524</xdr:colOff>
      <xdr:row>30</xdr:row>
      <xdr:rowOff>47624</xdr:rowOff>
    </xdr:to>
    <xdr:sp macro="" textlink="">
      <xdr:nvSpPr>
        <xdr:cNvPr id="2" name="Tekstboks 1"/>
        <xdr:cNvSpPr txBox="1"/>
      </xdr:nvSpPr>
      <xdr:spPr>
        <a:xfrm>
          <a:off x="7915274" y="4095749"/>
          <a:ext cx="4276725" cy="2066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Slender constructions should allways be arranged</a:t>
          </a:r>
          <a:r>
            <a:rPr lang="da-DK" sz="1100" baseline="0"/>
            <a:t> with the stiffening walls active. E.g. For  S=6000 mm and t</a:t>
          </a:r>
          <a:r>
            <a:rPr lang="da-DK" sz="1100" baseline="-25000"/>
            <a:t>1</a:t>
          </a:r>
          <a:r>
            <a:rPr lang="da-DK" sz="1100" baseline="0"/>
            <a:t> = 100 mm  the angle </a:t>
          </a:r>
          <a:r>
            <a:rPr lang="da-DK" sz="1100" b="0" i="0" u="none" strike="noStrike" baseline="0">
              <a:solidFill>
                <a:schemeClr val="dk1"/>
              </a:solidFill>
              <a:effectLst/>
              <a:latin typeface="Symbol" pitchFamily="18" charset="2"/>
            </a:rPr>
            <a:t> a </a:t>
          </a:r>
          <a:r>
            <a:rPr lang="da-DK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 154 </a:t>
          </a:r>
          <a:r>
            <a:rPr lang="da-DK" sz="11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da-DK"/>
            <a:t> </a:t>
          </a:r>
        </a:p>
        <a:p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Local buckling shall always be evaluated, e.g. according to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1996-1-1 (5.6 - 5.9), 5.5.1.2 (4), etc.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Compact constructions can not allways be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arranged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the stiffening walls active. E.g. For  S= 450 mm, t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100 mm  and  </a:t>
          </a:r>
          <a:r>
            <a:rPr lang="da-DK" sz="1100" baseline="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a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90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stiffening wall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not active. This only means  the compact construction is acting in unison.</a:t>
          </a:r>
          <a:endParaRPr lang="da-DK">
            <a:effectLst/>
          </a:endParaRPr>
        </a:p>
        <a:p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24</xdr:row>
      <xdr:rowOff>0</xdr:rowOff>
    </xdr:from>
    <xdr:to>
      <xdr:col>20</xdr:col>
      <xdr:colOff>600075</xdr:colOff>
      <xdr:row>31</xdr:row>
      <xdr:rowOff>219075</xdr:rowOff>
    </xdr:to>
    <xdr:sp macro="" textlink="">
      <xdr:nvSpPr>
        <xdr:cNvPr id="2" name="Tekstboks 1"/>
        <xdr:cNvSpPr txBox="1"/>
      </xdr:nvSpPr>
      <xdr:spPr>
        <a:xfrm>
          <a:off x="9991725" y="5067300"/>
          <a:ext cx="302895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An</a:t>
          </a:r>
          <a:r>
            <a:rPr lang="da-DK" sz="1100" baseline="0"/>
            <a:t> circular arc can be represented by the n - profile. See figure.</a:t>
          </a:r>
        </a:p>
        <a:p>
          <a:r>
            <a:rPr lang="da-DK" sz="1100" baseline="0"/>
            <a:t>Input/output above gives a proposal for L</a:t>
          </a:r>
          <a:r>
            <a:rPr lang="da-DK" sz="1100" baseline="-25000"/>
            <a:t>1</a:t>
          </a:r>
          <a:r>
            <a:rPr lang="da-DK" sz="1100" baseline="0"/>
            <a:t>, 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based on R and v.</a:t>
          </a:r>
        </a:p>
        <a:p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representing the arc through the n-profile locale buckling and local load capacity can "easily" be found through the formulas given in EN 1996-1-1.</a:t>
          </a:r>
          <a:endParaRPr lang="da-DK" sz="1100" baseline="0"/>
        </a:p>
      </xdr:txBody>
    </xdr:sp>
    <xdr:clientData/>
  </xdr:twoCellAnchor>
  <xdr:twoCellAnchor editAs="oneCell">
    <xdr:from>
      <xdr:col>0</xdr:col>
      <xdr:colOff>42334</xdr:colOff>
      <xdr:row>0</xdr:row>
      <xdr:rowOff>74083</xdr:rowOff>
    </xdr:from>
    <xdr:to>
      <xdr:col>10</xdr:col>
      <xdr:colOff>380926</xdr:colOff>
      <xdr:row>14</xdr:row>
      <xdr:rowOff>63500</xdr:rowOff>
    </xdr:to>
    <xdr:pic>
      <xdr:nvPicPr>
        <xdr:cNvPr id="6" name="Billed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74083"/>
          <a:ext cx="7628392" cy="2656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74083</xdr:rowOff>
    </xdr:from>
    <xdr:to>
      <xdr:col>19</xdr:col>
      <xdr:colOff>420158</xdr:colOff>
      <xdr:row>17</xdr:row>
      <xdr:rowOff>41275</xdr:rowOff>
    </xdr:to>
    <xdr:pic>
      <xdr:nvPicPr>
        <xdr:cNvPr id="7" name="Billed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7417" y="74083"/>
          <a:ext cx="4325408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409574</xdr:colOff>
      <xdr:row>32</xdr:row>
      <xdr:rowOff>152399</xdr:rowOff>
    </xdr:from>
    <xdr:to>
      <xdr:col>12</xdr:col>
      <xdr:colOff>342900</xdr:colOff>
      <xdr:row>43</xdr:row>
      <xdr:rowOff>123825</xdr:rowOff>
    </xdr:to>
    <xdr:sp macro="" textlink="">
      <xdr:nvSpPr>
        <xdr:cNvPr id="3" name="Tekstboks 2"/>
        <xdr:cNvSpPr txBox="1"/>
      </xdr:nvSpPr>
      <xdr:spPr>
        <a:xfrm>
          <a:off x="5191124" y="6772274"/>
          <a:ext cx="3619501" cy="2095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Slender constructions should allways be arranged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the stiffening walls active. E.g. For  L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1200, L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800,  t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100 mm and the angle 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131 </a:t>
          </a:r>
          <a:r>
            <a:rPr lang="da-DK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buckling shall always be evaluated, e.g. according to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1996-1-1 (5.6 - 5.9), 5.5.1.2 (4), etc.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Compact constructions can not allways be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arranged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the stiffening walls active. E.g. For  L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600, L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300, t</a:t>
          </a:r>
          <a:r>
            <a:rPr lang="da-DK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150 mm  and </a:t>
          </a:r>
          <a:r>
            <a:rPr lang="el-G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135</a:t>
          </a:r>
          <a:r>
            <a:rPr lang="da-DK" sz="11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the stiffening wall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not active. This only means  the compact construction is acting in unison.</a:t>
          </a:r>
          <a:endParaRPr lang="da-DK">
            <a:effectLst/>
          </a:endParaRPr>
        </a:p>
        <a:p>
          <a:endParaRPr lang="da-D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285749</xdr:colOff>
      <xdr:row>17</xdr:row>
      <xdr:rowOff>25118</xdr:rowOff>
    </xdr:to>
    <xdr:pic>
      <xdr:nvPicPr>
        <xdr:cNvPr id="2" name="Billed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038474" cy="3263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K100"/>
  <sheetViews>
    <sheetView topLeftCell="A85" zoomScale="90" zoomScaleNormal="90" workbookViewId="0">
      <selection activeCell="M92" sqref="M92"/>
    </sheetView>
  </sheetViews>
  <sheetFormatPr defaultRowHeight="15" x14ac:dyDescent="0.25"/>
  <sheetData>
    <row r="1" spans="8:8" x14ac:dyDescent="0.25">
      <c r="H1" s="1" t="s">
        <v>18</v>
      </c>
    </row>
    <row r="5" spans="8:8" x14ac:dyDescent="0.25">
      <c r="H5" t="s">
        <v>19</v>
      </c>
    </row>
    <row r="15" spans="8:8" x14ac:dyDescent="0.25">
      <c r="H15" t="s">
        <v>73</v>
      </c>
    </row>
    <row r="26" spans="8:8" x14ac:dyDescent="0.25">
      <c r="H26" t="s">
        <v>73</v>
      </c>
    </row>
    <row r="46" spans="8:8" x14ac:dyDescent="0.25">
      <c r="H46" t="s">
        <v>25</v>
      </c>
    </row>
    <row r="61" spans="10:11" x14ac:dyDescent="0.25">
      <c r="J61" t="s">
        <v>30</v>
      </c>
      <c r="K61" t="s">
        <v>45</v>
      </c>
    </row>
    <row r="73" spans="11:11" x14ac:dyDescent="0.25">
      <c r="K73" t="s">
        <v>46</v>
      </c>
    </row>
    <row r="83" spans="8:11" x14ac:dyDescent="0.25">
      <c r="H83" t="s">
        <v>61</v>
      </c>
    </row>
    <row r="89" spans="8:11" x14ac:dyDescent="0.25">
      <c r="K89" t="s">
        <v>46</v>
      </c>
    </row>
    <row r="100" spans="8:8" x14ac:dyDescent="0.25">
      <c r="H100" t="s">
        <v>74</v>
      </c>
    </row>
  </sheetData>
  <sheetProtection algorithmName="SHA-512" hashValue="MvO6LMbZyJacDEJoielQK31ydny+stdxiw0F25lyVbQg8kTY+kIlJ6u8+JiRoSE/dql6kCeQwubBC9VbUAqrhQ==" saltValue="aQMIX5eBpT6uIGm+8YwXQ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I37"/>
  <sheetViews>
    <sheetView topLeftCell="A4" workbookViewId="0">
      <selection activeCell="K23" sqref="K23"/>
    </sheetView>
  </sheetViews>
  <sheetFormatPr defaultRowHeight="15" x14ac:dyDescent="0.25"/>
  <cols>
    <col min="2" max="2" width="10.42578125" customWidth="1"/>
    <col min="3" max="3" width="13.85546875" customWidth="1"/>
    <col min="7" max="7" width="11.140625" customWidth="1"/>
  </cols>
  <sheetData>
    <row r="16" spans="2:9" x14ac:dyDescent="0.25">
      <c r="B16" s="1" t="s">
        <v>0</v>
      </c>
      <c r="F16" s="1" t="s">
        <v>6</v>
      </c>
      <c r="I16" s="1" t="s">
        <v>9</v>
      </c>
    </row>
    <row r="17" spans="2:9" ht="18" x14ac:dyDescent="0.35">
      <c r="B17" t="s">
        <v>1</v>
      </c>
      <c r="C17" s="27">
        <v>2300</v>
      </c>
      <c r="D17" t="s">
        <v>4</v>
      </c>
      <c r="F17" t="s">
        <v>59</v>
      </c>
      <c r="G17" s="4">
        <f>MAX(C19,MIN(G30,G31))</f>
        <v>375.24771386972077</v>
      </c>
      <c r="H17" t="s">
        <v>4</v>
      </c>
      <c r="I17" t="s">
        <v>8</v>
      </c>
    </row>
    <row r="18" spans="2:9" ht="18" x14ac:dyDescent="0.35">
      <c r="B18" t="s">
        <v>2</v>
      </c>
      <c r="C18" s="27">
        <v>849</v>
      </c>
      <c r="D18" t="s">
        <v>4</v>
      </c>
      <c r="F18" t="s">
        <v>59</v>
      </c>
      <c r="G18" s="4">
        <f>MIN(G17,G29)</f>
        <v>375.24771386972077</v>
      </c>
      <c r="H18" t="s">
        <v>4</v>
      </c>
      <c r="I18" t="s">
        <v>7</v>
      </c>
    </row>
    <row r="19" spans="2:9" ht="18.75" x14ac:dyDescent="0.35">
      <c r="B19" t="s">
        <v>21</v>
      </c>
      <c r="C19" s="27">
        <v>108</v>
      </c>
      <c r="D19" t="s">
        <v>4</v>
      </c>
      <c r="F19" t="s">
        <v>10</v>
      </c>
      <c r="G19" s="4">
        <f>C24</f>
        <v>475146</v>
      </c>
      <c r="H19" t="s">
        <v>11</v>
      </c>
    </row>
    <row r="20" spans="2:9" ht="18.75" x14ac:dyDescent="0.35">
      <c r="B20" t="s">
        <v>3</v>
      </c>
      <c r="C20" s="27">
        <v>306</v>
      </c>
      <c r="D20" t="s">
        <v>4</v>
      </c>
      <c r="F20" t="s">
        <v>72</v>
      </c>
      <c r="G20" s="4">
        <f>C17*G18</f>
        <v>863069.74190035777</v>
      </c>
      <c r="H20" t="s">
        <v>11</v>
      </c>
    </row>
    <row r="22" spans="2:9" x14ac:dyDescent="0.25">
      <c r="B22" s="1" t="s">
        <v>5</v>
      </c>
    </row>
    <row r="23" spans="2:9" ht="18" x14ac:dyDescent="0.35">
      <c r="B23" t="s">
        <v>63</v>
      </c>
      <c r="C23" s="3">
        <f>C18-C19</f>
        <v>741</v>
      </c>
      <c r="D23" t="s">
        <v>4</v>
      </c>
    </row>
    <row r="24" spans="2:9" ht="17.25" x14ac:dyDescent="0.25">
      <c r="B24" t="s">
        <v>10</v>
      </c>
      <c r="C24" s="3">
        <f>C17*C19+C23*C20</f>
        <v>475146</v>
      </c>
      <c r="D24" t="s">
        <v>11</v>
      </c>
    </row>
    <row r="25" spans="2:9" ht="18" x14ac:dyDescent="0.3">
      <c r="B25" t="s">
        <v>12</v>
      </c>
      <c r="C25" s="3">
        <f>C17*C19*0.5*C19+C20*C23*(0.5*C23+C19)</f>
        <v>121911561</v>
      </c>
      <c r="D25" t="s">
        <v>13</v>
      </c>
    </row>
    <row r="26" spans="2:9" ht="16.5" x14ac:dyDescent="0.3">
      <c r="B26" s="2" t="s">
        <v>14</v>
      </c>
      <c r="C26" s="3">
        <f>C25/C24</f>
        <v>256.57705421070574</v>
      </c>
      <c r="D26" t="s">
        <v>4</v>
      </c>
    </row>
    <row r="27" spans="2:9" ht="18.75" x14ac:dyDescent="0.35">
      <c r="B27" t="s">
        <v>22</v>
      </c>
      <c r="C27" s="3">
        <f>1/12*C17*POWER(C19,3)+(C17*C19)*POWER(C26-C19/2,2)</f>
        <v>10435150582.543503</v>
      </c>
      <c r="D27" t="s">
        <v>16</v>
      </c>
    </row>
    <row r="28" spans="2:9" ht="18.75" x14ac:dyDescent="0.35">
      <c r="B28" t="s">
        <v>15</v>
      </c>
      <c r="C28" s="3">
        <f>1/12*C20*POWER(C23,3)+C23*C20*POWER((C23/2+C19-C26),2)</f>
        <v>21542353795.847733</v>
      </c>
      <c r="D28" t="s">
        <v>16</v>
      </c>
    </row>
    <row r="29" spans="2:9" ht="18.75" x14ac:dyDescent="0.35">
      <c r="B29" t="s">
        <v>17</v>
      </c>
      <c r="C29" s="3">
        <f>C27+C28</f>
        <v>31977504378.391235</v>
      </c>
      <c r="D29" t="s">
        <v>16</v>
      </c>
      <c r="F29" t="s">
        <v>60</v>
      </c>
      <c r="G29" s="3">
        <f>POWER(12*C29/C17,1/3)</f>
        <v>550.51098877621496</v>
      </c>
    </row>
    <row r="30" spans="2:9" ht="18.75" x14ac:dyDescent="0.35">
      <c r="B30" t="s">
        <v>57</v>
      </c>
      <c r="C30">
        <f>C29/C26</f>
        <v>124631193.06113292</v>
      </c>
      <c r="D30" t="s">
        <v>13</v>
      </c>
      <c r="F30" t="s">
        <v>70</v>
      </c>
      <c r="G30" s="3">
        <f>POWER(6*C30/$C$17,0.5)</f>
        <v>570.19720401263373</v>
      </c>
    </row>
    <row r="31" spans="2:9" ht="18.75" x14ac:dyDescent="0.35">
      <c r="B31" t="s">
        <v>58</v>
      </c>
      <c r="C31" s="3">
        <f>C29/(C18-C26)</f>
        <v>53977491.259706542</v>
      </c>
      <c r="D31" t="s">
        <v>13</v>
      </c>
      <c r="F31" t="s">
        <v>71</v>
      </c>
      <c r="G31" s="3">
        <f>POWER(6*C31/$C$17,0.5)</f>
        <v>375.24771386972077</v>
      </c>
    </row>
    <row r="32" spans="2:9" x14ac:dyDescent="0.25">
      <c r="C32" s="3"/>
    </row>
    <row r="33" spans="3:7" x14ac:dyDescent="0.25">
      <c r="C33" s="3"/>
    </row>
    <row r="34" spans="3:7" x14ac:dyDescent="0.25">
      <c r="C34" s="3"/>
    </row>
    <row r="37" spans="3:7" x14ac:dyDescent="0.25">
      <c r="G37" s="3"/>
    </row>
  </sheetData>
  <sheetProtection algorithmName="SHA-512" hashValue="L0ZNxTXFRa7iHmi/dGp74YCSbbF/Eheza5680UiFoXufig5MxfF0PUpZ5X20i98Fr1onuUw3u9YW7HPOAwWvJA==" saltValue="gqNGwz2QJwq5WIXjBnXs9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I43"/>
  <sheetViews>
    <sheetView topLeftCell="A13" zoomScaleNormal="100" workbookViewId="0">
      <selection activeCell="G24" sqref="G24"/>
    </sheetView>
  </sheetViews>
  <sheetFormatPr defaultRowHeight="15" x14ac:dyDescent="0.25"/>
  <cols>
    <col min="3" max="3" width="15.140625" customWidth="1"/>
    <col min="7" max="7" width="11.42578125" customWidth="1"/>
  </cols>
  <sheetData>
    <row r="19" spans="2:9" x14ac:dyDescent="0.25">
      <c r="B19" s="1" t="s">
        <v>0</v>
      </c>
      <c r="F19" s="1" t="s">
        <v>6</v>
      </c>
      <c r="I19" s="1" t="s">
        <v>9</v>
      </c>
    </row>
    <row r="20" spans="2:9" ht="18" x14ac:dyDescent="0.35">
      <c r="B20" t="s">
        <v>1</v>
      </c>
      <c r="C20" s="27">
        <v>1200</v>
      </c>
      <c r="D20" t="s">
        <v>4</v>
      </c>
      <c r="F20" t="s">
        <v>59</v>
      </c>
      <c r="G20" s="4">
        <f>MAX(C22,C23,MIN(G36,G37))</f>
        <v>515.82395668068216</v>
      </c>
      <c r="H20" t="s">
        <v>4</v>
      </c>
      <c r="I20" t="s">
        <v>8</v>
      </c>
    </row>
    <row r="21" spans="2:9" ht="18" x14ac:dyDescent="0.35">
      <c r="B21" t="s">
        <v>2</v>
      </c>
      <c r="C21" s="27">
        <v>588</v>
      </c>
      <c r="D21" t="s">
        <v>4</v>
      </c>
      <c r="F21" t="s">
        <v>59</v>
      </c>
      <c r="G21" s="4">
        <f>MIN(G20,G35)</f>
        <v>515.82395668068216</v>
      </c>
      <c r="H21" t="s">
        <v>4</v>
      </c>
      <c r="I21" t="s">
        <v>7</v>
      </c>
    </row>
    <row r="22" spans="2:9" ht="18.75" x14ac:dyDescent="0.35">
      <c r="B22" t="s">
        <v>21</v>
      </c>
      <c r="C22" s="27">
        <v>108</v>
      </c>
      <c r="D22" t="s">
        <v>4</v>
      </c>
      <c r="F22" t="s">
        <v>10</v>
      </c>
      <c r="G22" s="4">
        <f>C20*C21-(C20-C24)*(C21-C22-C23)</f>
        <v>299376</v>
      </c>
      <c r="H22" t="s">
        <v>11</v>
      </c>
    </row>
    <row r="23" spans="2:9" ht="18.75" x14ac:dyDescent="0.35">
      <c r="B23" t="s">
        <v>20</v>
      </c>
      <c r="C23" s="27">
        <v>108</v>
      </c>
      <c r="D23" t="s">
        <v>4</v>
      </c>
      <c r="F23" t="s">
        <v>72</v>
      </c>
      <c r="G23" s="4">
        <f>C20*G21</f>
        <v>618988.74801681854</v>
      </c>
      <c r="H23" t="s">
        <v>11</v>
      </c>
    </row>
    <row r="24" spans="2:9" x14ac:dyDescent="0.25">
      <c r="B24" t="s">
        <v>3</v>
      </c>
      <c r="C24" s="27">
        <v>108</v>
      </c>
      <c r="D24" t="s">
        <v>4</v>
      </c>
    </row>
    <row r="27" spans="2:9" x14ac:dyDescent="0.25">
      <c r="B27" s="1" t="s">
        <v>5</v>
      </c>
    </row>
    <row r="28" spans="2:9" ht="18" x14ac:dyDescent="0.35">
      <c r="B28" s="5" t="s">
        <v>64</v>
      </c>
      <c r="C28" s="3">
        <f>C21-C22-C23</f>
        <v>372</v>
      </c>
      <c r="D28" t="s">
        <v>4</v>
      </c>
    </row>
    <row r="29" spans="2:9" ht="17.25" x14ac:dyDescent="0.25">
      <c r="B29" t="s">
        <v>10</v>
      </c>
      <c r="C29" s="3">
        <f>(C22+C23)*C20+C24*C28</f>
        <v>299376</v>
      </c>
      <c r="D29" t="s">
        <v>11</v>
      </c>
    </row>
    <row r="30" spans="2:9" ht="18" x14ac:dyDescent="0.3">
      <c r="B30" t="s">
        <v>12</v>
      </c>
      <c r="C30" s="3">
        <f>C20*C22*0.5*C22+C28*C24*(0.5*C28+C22)+C20*C23*(C22+C28+0.5*C23)</f>
        <v>88016544</v>
      </c>
      <c r="D30" t="s">
        <v>13</v>
      </c>
    </row>
    <row r="31" spans="2:9" ht="16.5" x14ac:dyDescent="0.3">
      <c r="B31" s="2" t="s">
        <v>14</v>
      </c>
      <c r="C31" s="3">
        <f>C30/C29</f>
        <v>294</v>
      </c>
      <c r="D31" t="s">
        <v>4</v>
      </c>
    </row>
    <row r="32" spans="2:9" ht="18.75" x14ac:dyDescent="0.35">
      <c r="B32" t="s">
        <v>23</v>
      </c>
      <c r="C32" s="3">
        <f>1/12*C20*POWER(C22,3)+(C20*C22)*POWER(C31-C22/2,2)</f>
        <v>7590931200</v>
      </c>
      <c r="D32" t="s">
        <v>16</v>
      </c>
    </row>
    <row r="33" spans="2:7" ht="18.75" x14ac:dyDescent="0.35">
      <c r="B33" t="s">
        <v>15</v>
      </c>
      <c r="C33" s="3">
        <f>1/12*C24*POWER(C28,3)+C28*C24*POWER((C28/2+C22-C31),2)</f>
        <v>463309632</v>
      </c>
      <c r="D33" t="s">
        <v>16</v>
      </c>
    </row>
    <row r="34" spans="2:7" ht="18.75" x14ac:dyDescent="0.35">
      <c r="B34" t="s">
        <v>24</v>
      </c>
      <c r="C34" s="3">
        <f>(1/12)*C20*POWER(C23,3)+C23*C20*POWER((C22+C28+0.5*C23-C31),2)</f>
        <v>7590931200</v>
      </c>
      <c r="D34" t="s">
        <v>16</v>
      </c>
    </row>
    <row r="35" spans="2:7" ht="18.75" x14ac:dyDescent="0.35">
      <c r="B35" t="s">
        <v>17</v>
      </c>
      <c r="C35" s="3">
        <f>C32+C33+C34</f>
        <v>15645172032</v>
      </c>
      <c r="D35" t="s">
        <v>16</v>
      </c>
      <c r="F35" t="s">
        <v>60</v>
      </c>
      <c r="G35" s="3">
        <f>POWER(12*C35/C20,1/3)</f>
        <v>538.84035590407439</v>
      </c>
    </row>
    <row r="36" spans="2:7" ht="18.75" x14ac:dyDescent="0.35">
      <c r="B36" t="s">
        <v>57</v>
      </c>
      <c r="C36" s="3">
        <f>C35/C31</f>
        <v>53214870.857142858</v>
      </c>
      <c r="D36" t="s">
        <v>13</v>
      </c>
      <c r="F36" t="s">
        <v>70</v>
      </c>
      <c r="G36" s="3">
        <f>POWER(6*C36/$C$20,0.5)</f>
        <v>515.82395668068216</v>
      </c>
    </row>
    <row r="37" spans="2:7" ht="18.75" x14ac:dyDescent="0.35">
      <c r="B37" t="s">
        <v>58</v>
      </c>
      <c r="C37" s="3">
        <f>C35/(C21-C31)</f>
        <v>53214870.857142858</v>
      </c>
      <c r="D37" t="s">
        <v>13</v>
      </c>
      <c r="F37" t="s">
        <v>71</v>
      </c>
      <c r="G37" s="3">
        <f>POWER(6*C37/$C$20,0.5)</f>
        <v>515.82395668068216</v>
      </c>
    </row>
    <row r="38" spans="2:7" x14ac:dyDescent="0.25">
      <c r="C38" s="3"/>
    </row>
    <row r="39" spans="2:7" x14ac:dyDescent="0.25">
      <c r="C39" s="3"/>
    </row>
    <row r="40" spans="2:7" x14ac:dyDescent="0.25">
      <c r="C40" s="3"/>
    </row>
    <row r="43" spans="2:7" x14ac:dyDescent="0.25">
      <c r="G43" s="3"/>
    </row>
  </sheetData>
  <sheetProtection algorithmName="SHA-512" hashValue="nYCw+BWv4BUlenXCkv/XJWFln9YAl5OUkQmkQlxZ9Ot1eOcnTQNjpfSW7c+u62YPWt/bHhdRAhT79iqTYxkxaw==" saltValue="Nu+BARktFb7cy+Yqurndo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I44"/>
  <sheetViews>
    <sheetView zoomScaleNormal="100" workbookViewId="0">
      <selection activeCell="I14" sqref="I14"/>
    </sheetView>
  </sheetViews>
  <sheetFormatPr defaultRowHeight="15" x14ac:dyDescent="0.25"/>
  <cols>
    <col min="3" max="3" width="15.140625" customWidth="1"/>
    <col min="7" max="7" width="11.42578125" customWidth="1"/>
  </cols>
  <sheetData>
    <row r="19" spans="2:9" x14ac:dyDescent="0.25">
      <c r="B19" s="1" t="s">
        <v>0</v>
      </c>
      <c r="F19" s="1" t="s">
        <v>6</v>
      </c>
      <c r="I19" s="1" t="s">
        <v>9</v>
      </c>
    </row>
    <row r="20" spans="2:9" ht="18" x14ac:dyDescent="0.35">
      <c r="B20" t="s">
        <v>26</v>
      </c>
      <c r="C20" s="27">
        <v>400</v>
      </c>
      <c r="D20" t="s">
        <v>4</v>
      </c>
      <c r="F20" t="s">
        <v>59</v>
      </c>
      <c r="G20" s="4">
        <f>MAX(C23,C24,MIN(G37,G38))</f>
        <v>519.79016745396223</v>
      </c>
      <c r="H20" t="s">
        <v>4</v>
      </c>
      <c r="I20" t="s">
        <v>8</v>
      </c>
    </row>
    <row r="21" spans="2:9" ht="18" x14ac:dyDescent="0.35">
      <c r="B21" t="s">
        <v>27</v>
      </c>
      <c r="C21" s="27">
        <v>0</v>
      </c>
      <c r="D21" t="s">
        <v>4</v>
      </c>
      <c r="F21" t="s">
        <v>59</v>
      </c>
      <c r="G21" s="4">
        <f>MIN(G20,G36)</f>
        <v>519.79016745396223</v>
      </c>
      <c r="H21" t="s">
        <v>4</v>
      </c>
      <c r="I21" t="s">
        <v>7</v>
      </c>
    </row>
    <row r="22" spans="2:9" x14ac:dyDescent="0.25">
      <c r="B22" t="s">
        <v>2</v>
      </c>
      <c r="C22" s="27">
        <v>1000</v>
      </c>
      <c r="D22" t="s">
        <v>4</v>
      </c>
      <c r="F22" t="s">
        <v>1</v>
      </c>
      <c r="G22">
        <f>C20+C21+C25</f>
        <v>500</v>
      </c>
      <c r="H22" t="s">
        <v>28</v>
      </c>
      <c r="I22" t="s">
        <v>29</v>
      </c>
    </row>
    <row r="23" spans="2:9" ht="18.75" x14ac:dyDescent="0.35">
      <c r="B23" t="s">
        <v>21</v>
      </c>
      <c r="C23" s="27">
        <v>100</v>
      </c>
      <c r="D23" t="s">
        <v>4</v>
      </c>
      <c r="F23" t="s">
        <v>10</v>
      </c>
      <c r="G23" s="4">
        <f>C20*C23+C21*C24+C22*C25</f>
        <v>140000</v>
      </c>
      <c r="H23" t="s">
        <v>11</v>
      </c>
    </row>
    <row r="24" spans="2:9" ht="18.75" x14ac:dyDescent="0.35">
      <c r="B24" t="s">
        <v>20</v>
      </c>
      <c r="C24" s="27">
        <v>100</v>
      </c>
      <c r="D24" t="s">
        <v>4</v>
      </c>
      <c r="F24" t="s">
        <v>72</v>
      </c>
      <c r="G24" s="4">
        <f>G22*G21</f>
        <v>259895.0837269811</v>
      </c>
      <c r="H24" t="s">
        <v>11</v>
      </c>
    </row>
    <row r="25" spans="2:9" x14ac:dyDescent="0.25">
      <c r="B25" t="s">
        <v>3</v>
      </c>
      <c r="C25" s="27">
        <v>100</v>
      </c>
      <c r="D25" t="s">
        <v>4</v>
      </c>
    </row>
    <row r="28" spans="2:9" x14ac:dyDescent="0.25">
      <c r="B28" s="1" t="s">
        <v>5</v>
      </c>
    </row>
    <row r="29" spans="2:9" ht="18" x14ac:dyDescent="0.35">
      <c r="B29" s="5" t="s">
        <v>64</v>
      </c>
      <c r="C29" s="3">
        <f>C22</f>
        <v>1000</v>
      </c>
      <c r="D29" t="s">
        <v>4</v>
      </c>
    </row>
    <row r="30" spans="2:9" ht="17.25" x14ac:dyDescent="0.25">
      <c r="B30" t="s">
        <v>10</v>
      </c>
      <c r="C30" s="3">
        <f>C22*C25+C20*C23+C21*C24</f>
        <v>140000</v>
      </c>
      <c r="D30" t="s">
        <v>11</v>
      </c>
    </row>
    <row r="31" spans="2:9" ht="18" x14ac:dyDescent="0.3">
      <c r="B31" t="s">
        <v>12</v>
      </c>
      <c r="C31" s="3">
        <f>C21*C24*0.5*C24+C22*C25*0.5*C22+C20*C23*(C22-0.5*C23)</f>
        <v>88000000</v>
      </c>
      <c r="D31" t="s">
        <v>13</v>
      </c>
    </row>
    <row r="32" spans="2:9" ht="16.5" x14ac:dyDescent="0.3">
      <c r="B32" s="2" t="s">
        <v>14</v>
      </c>
      <c r="C32" s="3">
        <f>C31/C30</f>
        <v>628.57142857142856</v>
      </c>
      <c r="D32" t="s">
        <v>4</v>
      </c>
    </row>
    <row r="33" spans="2:7" ht="18.75" x14ac:dyDescent="0.35">
      <c r="B33" t="s">
        <v>23</v>
      </c>
      <c r="C33" s="3">
        <f>1/12*C20*POWER(C23,3)+(C20*C23)*POWER(C22-C32-C23/2,2)</f>
        <v>4165986394.5578237</v>
      </c>
      <c r="D33" t="s">
        <v>16</v>
      </c>
    </row>
    <row r="34" spans="2:7" ht="18.75" x14ac:dyDescent="0.35">
      <c r="B34" t="s">
        <v>15</v>
      </c>
      <c r="C34" s="3">
        <f>1/12*C25*POWER(C29,3)+C29*C25*POWER((C29/2-C32),2)</f>
        <v>9986394557.8231277</v>
      </c>
      <c r="D34" t="s">
        <v>16</v>
      </c>
    </row>
    <row r="35" spans="2:7" ht="18.75" x14ac:dyDescent="0.35">
      <c r="B35" t="s">
        <v>24</v>
      </c>
      <c r="C35" s="3">
        <f>(1/12)*C21*POWER(C24,3)+C24*C21*POWER((C32-0.5*C24),2)</f>
        <v>0</v>
      </c>
      <c r="D35" t="s">
        <v>16</v>
      </c>
    </row>
    <row r="36" spans="2:7" ht="18.75" x14ac:dyDescent="0.35">
      <c r="B36" t="s">
        <v>17</v>
      </c>
      <c r="C36" s="3">
        <f>C33+C34+C35</f>
        <v>14152380952.380951</v>
      </c>
      <c r="D36" t="s">
        <v>16</v>
      </c>
      <c r="F36" t="s">
        <v>60</v>
      </c>
      <c r="G36" s="3">
        <f>POWER(12*C36/G22,1/3)</f>
        <v>697.71851966825614</v>
      </c>
    </row>
    <row r="37" spans="2:7" ht="18.75" x14ac:dyDescent="0.35">
      <c r="B37" t="s">
        <v>57</v>
      </c>
      <c r="C37" s="3">
        <f>C36/C32</f>
        <v>22515151.515151512</v>
      </c>
      <c r="D37" t="s">
        <v>13</v>
      </c>
      <c r="F37" t="s">
        <v>70</v>
      </c>
      <c r="G37" s="3">
        <f>POWER(6*C37/G22,0.5)</f>
        <v>519.79016745396223</v>
      </c>
    </row>
    <row r="38" spans="2:7" ht="18.75" x14ac:dyDescent="0.35">
      <c r="B38" t="s">
        <v>58</v>
      </c>
      <c r="C38" s="3">
        <f>C36/(C22-C32)</f>
        <v>38102564.102564096</v>
      </c>
      <c r="D38" t="s">
        <v>13</v>
      </c>
      <c r="F38" t="s">
        <v>71</v>
      </c>
      <c r="G38" s="3">
        <f>POWER(6*C38/G22,0.5)</f>
        <v>676.18841252329162</v>
      </c>
    </row>
    <row r="39" spans="2:7" x14ac:dyDescent="0.25">
      <c r="C39" s="3"/>
    </row>
    <row r="40" spans="2:7" x14ac:dyDescent="0.25">
      <c r="C40" s="3"/>
    </row>
    <row r="41" spans="2:7" x14ac:dyDescent="0.25">
      <c r="C41" s="3"/>
    </row>
    <row r="44" spans="2:7" x14ac:dyDescent="0.25">
      <c r="G44" s="3"/>
    </row>
  </sheetData>
  <sheetProtection algorithmName="SHA-512" hashValue="aoyb1eAG3+ioFFOzmcqOQfr3CLIOxZ7cSRYHO2yO8gyaJ/mQbt1FLfR8/cVzBB4BCOejB3ojLkQ1IIpAIIwRYA==" saltValue="oXSIVk3CAaXpc3E1m/Wjo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K33"/>
  <sheetViews>
    <sheetView topLeftCell="A11" workbookViewId="0">
      <selection activeCell="E19" sqref="E19"/>
    </sheetView>
  </sheetViews>
  <sheetFormatPr defaultRowHeight="15" x14ac:dyDescent="0.25"/>
  <cols>
    <col min="3" max="3" width="20.28515625" customWidth="1"/>
    <col min="9" max="9" width="12.140625" customWidth="1"/>
    <col min="10" max="10" width="13.140625" customWidth="1"/>
  </cols>
  <sheetData>
    <row r="16" spans="2:9" x14ac:dyDescent="0.25">
      <c r="B16" s="1" t="s">
        <v>0</v>
      </c>
      <c r="F16" s="1" t="s">
        <v>6</v>
      </c>
      <c r="I16" s="1" t="s">
        <v>9</v>
      </c>
    </row>
    <row r="17" spans="2:11" ht="18" x14ac:dyDescent="0.35">
      <c r="B17" t="s">
        <v>1</v>
      </c>
      <c r="C17" s="27">
        <v>3000</v>
      </c>
      <c r="D17" t="s">
        <v>4</v>
      </c>
      <c r="F17" t="s">
        <v>59</v>
      </c>
      <c r="G17" s="4">
        <f>MAX(C19,MIN(G31,G32))</f>
        <v>316.22775895574983</v>
      </c>
      <c r="H17" t="s">
        <v>4</v>
      </c>
      <c r="I17" t="s">
        <v>8</v>
      </c>
    </row>
    <row r="18" spans="2:11" ht="18" x14ac:dyDescent="0.35">
      <c r="B18" s="2" t="s">
        <v>31</v>
      </c>
      <c r="C18" s="27">
        <v>120</v>
      </c>
      <c r="D18" s="6" t="s">
        <v>32</v>
      </c>
      <c r="F18" t="s">
        <v>59</v>
      </c>
      <c r="G18" s="4">
        <f>MIN(G17,G30)</f>
        <v>316.22775895574983</v>
      </c>
      <c r="H18" t="s">
        <v>4</v>
      </c>
      <c r="I18" t="s">
        <v>7</v>
      </c>
    </row>
    <row r="19" spans="2:11" ht="18.75" x14ac:dyDescent="0.35">
      <c r="B19" t="s">
        <v>21</v>
      </c>
      <c r="C19" s="27">
        <v>100</v>
      </c>
      <c r="D19" t="s">
        <v>4</v>
      </c>
      <c r="F19" t="s">
        <v>10</v>
      </c>
      <c r="G19" s="4">
        <f>C27</f>
        <v>346410.15841976175</v>
      </c>
      <c r="H19" t="s">
        <v>11</v>
      </c>
    </row>
    <row r="20" spans="2:11" ht="18.75" x14ac:dyDescent="0.35">
      <c r="F20" t="s">
        <v>72</v>
      </c>
      <c r="G20" s="4">
        <f>C17*G18</f>
        <v>948683.27686724951</v>
      </c>
      <c r="H20" t="s">
        <v>11</v>
      </c>
    </row>
    <row r="22" spans="2:11" x14ac:dyDescent="0.25">
      <c r="B22" s="1" t="s">
        <v>5</v>
      </c>
      <c r="I22" s="1" t="s">
        <v>65</v>
      </c>
    </row>
    <row r="23" spans="2:11" x14ac:dyDescent="0.25">
      <c r="B23" s="2" t="s">
        <v>31</v>
      </c>
      <c r="C23" s="11">
        <f>MAX(C18/180*G23,0.01)</f>
        <v>2.0943951333333333</v>
      </c>
      <c r="F23" t="s">
        <v>62</v>
      </c>
      <c r="G23">
        <v>3.1415926999999999</v>
      </c>
      <c r="I23" s="2" t="s">
        <v>41</v>
      </c>
      <c r="J23" s="13">
        <f>C23-G23/2</f>
        <v>0.52359878333333332</v>
      </c>
    </row>
    <row r="24" spans="2:11" ht="18" x14ac:dyDescent="0.35">
      <c r="B24" t="s">
        <v>35</v>
      </c>
      <c r="C24" s="3">
        <f>MIN(C19/(ABS(COS(C23/2))),C17/2)</f>
        <v>200.00000535898923</v>
      </c>
      <c r="D24" t="s">
        <v>4</v>
      </c>
      <c r="I24" t="s">
        <v>39</v>
      </c>
      <c r="J24" s="3">
        <f>MIN(ABS(C19/COS(J23)),C26/2)</f>
        <v>115.47005435359412</v>
      </c>
      <c r="K24" t="s">
        <v>4</v>
      </c>
    </row>
    <row r="25" spans="2:11" ht="18" x14ac:dyDescent="0.35">
      <c r="B25" t="s">
        <v>2</v>
      </c>
      <c r="C25" s="3">
        <f>MAX(COS(C23/2)*C26,C19)</f>
        <v>866.02537284430105</v>
      </c>
      <c r="D25" t="s">
        <v>4</v>
      </c>
      <c r="I25" t="s">
        <v>40</v>
      </c>
      <c r="J25" s="3">
        <f>MAX(MIN(8*C19,0.5*C26)*COS(J23),C19)</f>
        <v>692.82031993353712</v>
      </c>
      <c r="K25" t="s">
        <v>4</v>
      </c>
    </row>
    <row r="26" spans="2:11" ht="18.75" x14ac:dyDescent="0.35">
      <c r="B26" t="s">
        <v>33</v>
      </c>
      <c r="C26" s="3">
        <f>(C17/2)/SIN(C23/2)</f>
        <v>1732.0507920988086</v>
      </c>
      <c r="D26" t="s">
        <v>4</v>
      </c>
      <c r="I26" t="s">
        <v>42</v>
      </c>
      <c r="J26" s="3">
        <f>(1/12)*J24*POWER(J25,3)</f>
        <v>3199999971.418725</v>
      </c>
      <c r="K26" t="s">
        <v>16</v>
      </c>
    </row>
    <row r="27" spans="2:11" ht="18.75" x14ac:dyDescent="0.35">
      <c r="B27" t="s">
        <v>10</v>
      </c>
      <c r="C27" s="3">
        <f>2*C19*C26</f>
        <v>346410.15841976175</v>
      </c>
      <c r="D27" t="s">
        <v>11</v>
      </c>
      <c r="I27" t="s">
        <v>43</v>
      </c>
      <c r="J27" s="3">
        <f>(1/12)*(C26)*POWER(C19,3)</f>
        <v>144337566.00823402</v>
      </c>
      <c r="K27" t="s">
        <v>16</v>
      </c>
    </row>
    <row r="28" spans="2:11" ht="18.75" x14ac:dyDescent="0.35">
      <c r="B28" t="s">
        <v>12</v>
      </c>
      <c r="C28" s="3">
        <f>C27*C25/2</f>
        <v>149999993.30126378</v>
      </c>
      <c r="D28" t="s">
        <v>13</v>
      </c>
      <c r="I28" t="s">
        <v>44</v>
      </c>
      <c r="J28" s="7">
        <f>J26/J27</f>
        <v>22.170250336881629</v>
      </c>
    </row>
    <row r="29" spans="2:11" ht="16.5" x14ac:dyDescent="0.3">
      <c r="B29" s="2" t="s">
        <v>14</v>
      </c>
      <c r="C29" s="3">
        <f>C28/C27</f>
        <v>433.01268642215052</v>
      </c>
      <c r="D29" t="s">
        <v>4</v>
      </c>
      <c r="I29" t="s">
        <v>69</v>
      </c>
      <c r="J29" s="8" t="str">
        <f>IF(J28&gt;3,"Yes","OBS: No")</f>
        <v>Yes</v>
      </c>
    </row>
    <row r="30" spans="2:11" ht="18.75" x14ac:dyDescent="0.35">
      <c r="B30" t="s">
        <v>17</v>
      </c>
      <c r="C30" s="3">
        <f>(1/12)*2*C24*POWER(C25,3)</f>
        <v>21650633354.228268</v>
      </c>
      <c r="D30" t="s">
        <v>16</v>
      </c>
      <c r="F30" t="s">
        <v>60</v>
      </c>
      <c r="G30" s="3">
        <f>POWER(12*C30/C17,1/3)</f>
        <v>442.42894522010727</v>
      </c>
      <c r="H30" t="s">
        <v>4</v>
      </c>
    </row>
    <row r="31" spans="2:11" ht="18.75" x14ac:dyDescent="0.35">
      <c r="B31" t="s">
        <v>57</v>
      </c>
      <c r="C31" s="3">
        <f>C30/C29</f>
        <v>49999997.767087922</v>
      </c>
      <c r="D31" t="s">
        <v>13</v>
      </c>
      <c r="F31" t="s">
        <v>70</v>
      </c>
      <c r="G31" s="3">
        <f>POWER(6*C31/$C$17,0.5)</f>
        <v>316.22775895574983</v>
      </c>
      <c r="H31" t="s">
        <v>4</v>
      </c>
    </row>
    <row r="32" spans="2:11" ht="18.75" x14ac:dyDescent="0.35">
      <c r="B32" t="s">
        <v>58</v>
      </c>
      <c r="C32" s="3">
        <f>C30/(C25-C29)</f>
        <v>49999997.767087922</v>
      </c>
      <c r="D32" t="s">
        <v>13</v>
      </c>
      <c r="F32" t="s">
        <v>71</v>
      </c>
      <c r="G32" s="3">
        <f>POWER(6*C32/$C$17,0.5)</f>
        <v>316.22775895574983</v>
      </c>
      <c r="H32" t="s">
        <v>4</v>
      </c>
    </row>
    <row r="33" spans="3:3" x14ac:dyDescent="0.25">
      <c r="C33" s="3"/>
    </row>
  </sheetData>
  <sheetProtection algorithmName="SHA-512" hashValue="+vQyOI8dV3LalJpTbar8l534/KankZULwkT5dAMCRmq/LCHZCiXnrmiNUcFyhluD7wOQn7rHUJFuWZ8vX3KTsw==" saltValue="zPwAQ3LivHxP513lnUC2Q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T34"/>
  <sheetViews>
    <sheetView topLeftCell="A4" zoomScaleNormal="100" workbookViewId="0">
      <selection activeCell="L14" sqref="L14"/>
    </sheetView>
  </sheetViews>
  <sheetFormatPr defaultRowHeight="15" x14ac:dyDescent="0.25"/>
  <cols>
    <col min="3" max="3" width="15.5703125" customWidth="1"/>
    <col min="7" max="7" width="10.42578125" bestFit="1" customWidth="1"/>
    <col min="9" max="9" width="12.85546875" customWidth="1"/>
    <col min="10" max="10" width="15" customWidth="1"/>
    <col min="15" max="15" width="12.5703125" bestFit="1" customWidth="1"/>
  </cols>
  <sheetData>
    <row r="16" spans="2:9" x14ac:dyDescent="0.25">
      <c r="B16" s="1" t="s">
        <v>0</v>
      </c>
      <c r="F16" s="1" t="s">
        <v>6</v>
      </c>
      <c r="I16" s="1" t="s">
        <v>9</v>
      </c>
    </row>
    <row r="17" spans="2:20" ht="18" x14ac:dyDescent="0.35">
      <c r="B17" t="s">
        <v>36</v>
      </c>
      <c r="C17" s="27">
        <v>885</v>
      </c>
      <c r="D17" t="s">
        <v>4</v>
      </c>
      <c r="F17" t="s">
        <v>59</v>
      </c>
      <c r="G17" s="4">
        <f>MAX(C20,MIN(G30,G31))</f>
        <v>229.69620330157008</v>
      </c>
      <c r="H17" t="s">
        <v>4</v>
      </c>
      <c r="I17" t="s">
        <v>8</v>
      </c>
    </row>
    <row r="18" spans="2:20" ht="18" x14ac:dyDescent="0.35">
      <c r="B18" t="s">
        <v>37</v>
      </c>
      <c r="C18" s="27">
        <v>1259</v>
      </c>
      <c r="D18" t="s">
        <v>4</v>
      </c>
      <c r="F18" t="s">
        <v>59</v>
      </c>
      <c r="G18" s="4">
        <f>MAX(C20,MIN(G17,G29))</f>
        <v>229.69620330157008</v>
      </c>
      <c r="H18" t="s">
        <v>4</v>
      </c>
      <c r="I18" t="s">
        <v>7</v>
      </c>
    </row>
    <row r="19" spans="2:20" ht="16.5" x14ac:dyDescent="0.25">
      <c r="B19" s="2" t="s">
        <v>68</v>
      </c>
      <c r="C19" s="27">
        <v>141</v>
      </c>
      <c r="D19" s="6" t="s">
        <v>32</v>
      </c>
      <c r="E19" s="14" t="str">
        <f>IF(C19&lt;90,"OBS!","")</f>
        <v/>
      </c>
      <c r="F19" t="s">
        <v>1</v>
      </c>
      <c r="G19" s="3">
        <f>2*C17*SIN(C23-H23/2)+C18+2*C20</f>
        <v>2850.5483531707177</v>
      </c>
      <c r="H19" t="s">
        <v>4</v>
      </c>
    </row>
    <row r="20" spans="2:20" ht="18.75" x14ac:dyDescent="0.35">
      <c r="B20" t="s">
        <v>21</v>
      </c>
      <c r="C20" s="27">
        <v>108</v>
      </c>
      <c r="D20" t="s">
        <v>4</v>
      </c>
      <c r="F20" t="s">
        <v>10</v>
      </c>
      <c r="G20" s="4">
        <f>C26</f>
        <v>327132</v>
      </c>
      <c r="H20" t="s">
        <v>11</v>
      </c>
      <c r="N20" s="1" t="s">
        <v>0</v>
      </c>
      <c r="R20" s="1" t="s">
        <v>6</v>
      </c>
    </row>
    <row r="21" spans="2:20" ht="18.75" x14ac:dyDescent="0.35">
      <c r="F21" t="s">
        <v>72</v>
      </c>
      <c r="G21" s="4">
        <f>G19*G18</f>
        <v>654760.13405085693</v>
      </c>
      <c r="H21" t="s">
        <v>11</v>
      </c>
      <c r="N21" t="s">
        <v>47</v>
      </c>
      <c r="O21" s="27">
        <v>1778</v>
      </c>
      <c r="P21" t="s">
        <v>4</v>
      </c>
      <c r="R21" t="s">
        <v>36</v>
      </c>
      <c r="S21" s="4">
        <f>O31/(COS(O33))</f>
        <v>884.59660654972276</v>
      </c>
      <c r="T21" t="s">
        <v>4</v>
      </c>
    </row>
    <row r="22" spans="2:20" ht="18" x14ac:dyDescent="0.35">
      <c r="B22" s="1" t="s">
        <v>5</v>
      </c>
      <c r="N22" t="s">
        <v>48</v>
      </c>
      <c r="O22" s="27">
        <v>1.675</v>
      </c>
      <c r="P22" t="s">
        <v>49</v>
      </c>
      <c r="Q22" s="12" t="str">
        <f>IF(AND(O22&gt;0,O22&lt;3.141595),"","OBS: v skal ligge i intervallet 0 .. pi")</f>
        <v/>
      </c>
      <c r="R22" t="s">
        <v>37</v>
      </c>
      <c r="S22" s="4">
        <f>O28-2*O31</f>
        <v>1258.6562646149966</v>
      </c>
      <c r="T22" t="s">
        <v>4</v>
      </c>
    </row>
    <row r="23" spans="2:20" ht="16.5" x14ac:dyDescent="0.25">
      <c r="B23" s="2" t="s">
        <v>31</v>
      </c>
      <c r="C23" s="11">
        <f>MAX((C19/180)*H23,0.1)</f>
        <v>2.4609142487666666</v>
      </c>
      <c r="D23" t="s">
        <v>49</v>
      </c>
      <c r="G23" t="s">
        <v>62</v>
      </c>
      <c r="H23">
        <v>3.141592658</v>
      </c>
      <c r="R23" s="10" t="s">
        <v>66</v>
      </c>
      <c r="S23" s="4">
        <f>(O34/O27)*180</f>
        <v>141.43593298219716</v>
      </c>
      <c r="T23" s="6" t="s">
        <v>32</v>
      </c>
    </row>
    <row r="24" spans="2:20" ht="18" x14ac:dyDescent="0.35">
      <c r="B24" t="s">
        <v>38</v>
      </c>
      <c r="C24" s="3">
        <f>MIN(ABS($C$20/(COS(C23-$H$23/2))),C17/2)</f>
        <v>171.61369900391398</v>
      </c>
      <c r="D24" t="s">
        <v>4</v>
      </c>
    </row>
    <row r="25" spans="2:20" x14ac:dyDescent="0.25">
      <c r="B25" t="s">
        <v>2</v>
      </c>
      <c r="C25" s="3">
        <f>MAX(C17*COS(C23-H23/2),C20/2)</f>
        <v>556.94854521969205</v>
      </c>
      <c r="D25" t="s">
        <v>4</v>
      </c>
      <c r="I25" s="15" t="s">
        <v>65</v>
      </c>
      <c r="J25" s="16"/>
      <c r="K25" s="17"/>
      <c r="N25" s="1" t="s">
        <v>5</v>
      </c>
    </row>
    <row r="26" spans="2:20" ht="17.25" x14ac:dyDescent="0.25">
      <c r="B26" t="s">
        <v>10</v>
      </c>
      <c r="C26" s="3">
        <f>2*(C17*C20)+C18*C20</f>
        <v>327132</v>
      </c>
      <c r="D26" t="s">
        <v>11</v>
      </c>
      <c r="I26" s="18" t="s">
        <v>41</v>
      </c>
      <c r="J26" s="19">
        <f>C23-H23/2</f>
        <v>0.89011791976666665</v>
      </c>
      <c r="K26" s="20"/>
      <c r="N26" t="s">
        <v>52</v>
      </c>
      <c r="O26" s="7">
        <f>(O22/O27)*180</f>
        <v>95.970429266658286</v>
      </c>
      <c r="P26" t="s">
        <v>53</v>
      </c>
    </row>
    <row r="27" spans="2:20" ht="18.75" x14ac:dyDescent="0.35">
      <c r="B27" t="s">
        <v>12</v>
      </c>
      <c r="C27" s="3">
        <f>2*(C25/2)*C20*C17</f>
        <v>53233141.952098168</v>
      </c>
      <c r="D27" t="s">
        <v>13</v>
      </c>
      <c r="I27" s="21" t="s">
        <v>39</v>
      </c>
      <c r="J27" s="22">
        <f>MIN(ABS(C20/COS(J26)),C17/2,C18/2)</f>
        <v>171.61369900391398</v>
      </c>
      <c r="K27" s="20" t="s">
        <v>4</v>
      </c>
      <c r="N27" t="s">
        <v>50</v>
      </c>
      <c r="O27">
        <v>3.1415926999999999</v>
      </c>
    </row>
    <row r="28" spans="2:20" ht="18" x14ac:dyDescent="0.35">
      <c r="B28" s="2" t="s">
        <v>14</v>
      </c>
      <c r="C28" s="3">
        <f>C27/C26</f>
        <v>162.726795153327</v>
      </c>
      <c r="D28" t="s">
        <v>4</v>
      </c>
      <c r="I28" s="21" t="s">
        <v>40</v>
      </c>
      <c r="J28" s="22">
        <f>MAX(MIN(C17,0.5*C18,8*C20)*COS(J26),C20)</f>
        <v>396.15718555457192</v>
      </c>
      <c r="K28" s="20" t="s">
        <v>4</v>
      </c>
      <c r="N28" t="s">
        <v>51</v>
      </c>
      <c r="O28" s="3">
        <f>2*O21*SIN(O22/2)</f>
        <v>2642.0089214332679</v>
      </c>
      <c r="P28" t="s">
        <v>4</v>
      </c>
    </row>
    <row r="29" spans="2:20" ht="18.75" x14ac:dyDescent="0.35">
      <c r="B29" t="s">
        <v>17</v>
      </c>
      <c r="C29" s="3">
        <f>((1/12)*C18*POWER(C20,3)+C18*C20*POWER(C28,2)+2*((1/12)*C24*POWER(C25,3)+C24*C25*POWER((C25/2-C28),2)))</f>
        <v>11235120176.655899</v>
      </c>
      <c r="D29" t="s">
        <v>16</v>
      </c>
      <c r="F29" t="s">
        <v>60</v>
      </c>
      <c r="G29" s="3">
        <f>POWER(12*C29/G19,1/3)</f>
        <v>361.64032595375022</v>
      </c>
      <c r="H29" t="s">
        <v>4</v>
      </c>
      <c r="I29" s="21" t="s">
        <v>42</v>
      </c>
      <c r="J29" s="22">
        <f>(1/12)*J27*POWER(J28,3)</f>
        <v>889146491.50866628</v>
      </c>
      <c r="K29" s="20" t="s">
        <v>16</v>
      </c>
      <c r="N29" t="s">
        <v>34</v>
      </c>
      <c r="O29" s="3">
        <f>O21*(1-COS(O22/2))</f>
        <v>587.94486902212986</v>
      </c>
      <c r="P29" t="s">
        <v>4</v>
      </c>
    </row>
    <row r="30" spans="2:20" ht="18.75" x14ac:dyDescent="0.35">
      <c r="B30" t="s">
        <v>57</v>
      </c>
      <c r="C30" s="3">
        <f>MIN(C29/(C28+C20/2),C29/28)</f>
        <v>51840014.377121322</v>
      </c>
      <c r="D30" t="s">
        <v>13</v>
      </c>
      <c r="F30" t="s">
        <v>70</v>
      </c>
      <c r="G30" s="3">
        <f>POWER(6*C30/G19,0.5)</f>
        <v>330.32692589873318</v>
      </c>
      <c r="H30" t="s">
        <v>4</v>
      </c>
      <c r="I30" s="21" t="s">
        <v>43</v>
      </c>
      <c r="J30" s="22">
        <f>(1/12)*MAX(C18,C17)*POWER(C20,3)</f>
        <v>132164783.99999999</v>
      </c>
      <c r="K30" s="20" t="s">
        <v>16</v>
      </c>
      <c r="N30" t="s">
        <v>54</v>
      </c>
      <c r="O30" s="9">
        <f>O28/O29</f>
        <v>4.4936337752678384</v>
      </c>
    </row>
    <row r="31" spans="2:20" ht="18.75" x14ac:dyDescent="0.35">
      <c r="B31" t="s">
        <v>58</v>
      </c>
      <c r="C31" s="3">
        <f>MIN(C29/(C25-C28),C29/(C25-C28+C20/2))</f>
        <v>25065986.144118156</v>
      </c>
      <c r="D31" t="s">
        <v>13</v>
      </c>
      <c r="F31" t="s">
        <v>71</v>
      </c>
      <c r="G31" s="3">
        <f>POWER(6*C31/G19,0.5)</f>
        <v>229.69620330157008</v>
      </c>
      <c r="H31" t="s">
        <v>4</v>
      </c>
      <c r="I31" s="21" t="s">
        <v>44</v>
      </c>
      <c r="J31" s="23">
        <f>J29/J30</f>
        <v>6.7275598279543694</v>
      </c>
      <c r="K31" s="20"/>
      <c r="N31" t="s">
        <v>55</v>
      </c>
      <c r="O31" s="3">
        <f>O28*IF(O22&lt;2,(O27/12),(O27/12-(0.0618*(O22-2)/(O27-2))))</f>
        <v>691.67632840913564</v>
      </c>
      <c r="P31" t="s">
        <v>4</v>
      </c>
    </row>
    <row r="32" spans="2:20" x14ac:dyDescent="0.25">
      <c r="C32" s="3"/>
      <c r="I32" s="24" t="s">
        <v>69</v>
      </c>
      <c r="J32" s="25" t="str">
        <f>IF(J31&gt;3,"Yes","No")</f>
        <v>Yes</v>
      </c>
      <c r="K32" s="26"/>
      <c r="N32" t="s">
        <v>56</v>
      </c>
      <c r="O32" s="7">
        <f>((0.5*O21*O21*(O22-SIN(O22)))/(2*O21*SIN(O22/2)-O31))</f>
        <v>551.44810548023702</v>
      </c>
      <c r="P32" t="s">
        <v>4</v>
      </c>
    </row>
    <row r="33" spans="3:16" ht="17.25" x14ac:dyDescent="0.25">
      <c r="C33" s="3"/>
      <c r="N33" s="10" t="s">
        <v>67</v>
      </c>
      <c r="O33" s="9">
        <f>ATAN(O32/O31)</f>
        <v>0.67306995236355649</v>
      </c>
      <c r="P33" t="s">
        <v>49</v>
      </c>
    </row>
    <row r="34" spans="3:16" x14ac:dyDescent="0.25">
      <c r="N34" s="10" t="s">
        <v>66</v>
      </c>
      <c r="O34" s="9">
        <f>O27-O33</f>
        <v>2.4685227476364435</v>
      </c>
      <c r="P34" t="s">
        <v>49</v>
      </c>
    </row>
  </sheetData>
  <sheetProtection algorithmName="SHA-512" hashValue="ErgOv+rAHDmCv2tp0EjnoXvjvdF66psuZxMiViMnYgADev/VtoRclbuch5z10Ydzt92VpeYw+Yw9sI6cROREkw==" saltValue="V23Q5EauQXFG79/Fxyt/b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S56"/>
  <sheetViews>
    <sheetView tabSelected="1" topLeftCell="A13" workbookViewId="0">
      <selection activeCell="H15" sqref="H15"/>
    </sheetView>
  </sheetViews>
  <sheetFormatPr defaultRowHeight="15" x14ac:dyDescent="0.25"/>
  <cols>
    <col min="2" max="2" width="17" customWidth="1"/>
    <col min="3" max="3" width="15.140625" customWidth="1"/>
    <col min="7" max="7" width="11.42578125" customWidth="1"/>
    <col min="11" max="11" width="10" bestFit="1" customWidth="1"/>
  </cols>
  <sheetData>
    <row r="19" spans="2:9" x14ac:dyDescent="0.25">
      <c r="B19" s="1" t="s">
        <v>0</v>
      </c>
      <c r="F19" s="1" t="s">
        <v>6</v>
      </c>
      <c r="I19" s="1" t="s">
        <v>9</v>
      </c>
    </row>
    <row r="20" spans="2:9" ht="18" x14ac:dyDescent="0.35">
      <c r="B20" t="s">
        <v>2</v>
      </c>
      <c r="C20" s="40">
        <v>280</v>
      </c>
      <c r="D20" t="s">
        <v>4</v>
      </c>
      <c r="F20" t="s">
        <v>59</v>
      </c>
      <c r="G20" s="4">
        <f>MIN(K42:K44)</f>
        <v>151.0511410394175</v>
      </c>
      <c r="H20" t="s">
        <v>4</v>
      </c>
      <c r="I20" t="s">
        <v>8</v>
      </c>
    </row>
    <row r="21" spans="2:9" ht="18" x14ac:dyDescent="0.35">
      <c r="B21" s="29" t="s">
        <v>84</v>
      </c>
      <c r="C21" s="40">
        <v>0</v>
      </c>
      <c r="D21" t="s">
        <v>4</v>
      </c>
      <c r="F21" t="s">
        <v>59</v>
      </c>
      <c r="G21" s="4">
        <f>MIN(K43:K44)</f>
        <v>151.0511410394175</v>
      </c>
      <c r="H21" t="s">
        <v>4</v>
      </c>
      <c r="I21" t="s">
        <v>7</v>
      </c>
    </row>
    <row r="22" spans="2:9" ht="18.75" x14ac:dyDescent="0.35">
      <c r="B22" s="20" t="s">
        <v>85</v>
      </c>
      <c r="C22" s="40">
        <v>112</v>
      </c>
      <c r="D22" t="s">
        <v>4</v>
      </c>
      <c r="F22" t="s">
        <v>10</v>
      </c>
      <c r="G22" s="4">
        <f>K36</f>
        <v>87668</v>
      </c>
      <c r="H22" t="s">
        <v>11</v>
      </c>
    </row>
    <row r="23" spans="2:9" ht="18.75" x14ac:dyDescent="0.35">
      <c r="B23" s="5" t="s">
        <v>75</v>
      </c>
      <c r="C23" s="40">
        <v>224</v>
      </c>
      <c r="D23" t="s">
        <v>4</v>
      </c>
      <c r="F23" t="s">
        <v>72</v>
      </c>
      <c r="G23" s="4">
        <f>G21*G24</f>
        <v>82322.871866482543</v>
      </c>
      <c r="H23" t="s">
        <v>11</v>
      </c>
    </row>
    <row r="24" spans="2:9" ht="18" x14ac:dyDescent="0.35">
      <c r="B24" s="5" t="s">
        <v>76</v>
      </c>
      <c r="C24" s="40">
        <v>336</v>
      </c>
      <c r="D24" t="s">
        <v>4</v>
      </c>
      <c r="F24" t="s">
        <v>1</v>
      </c>
      <c r="G24" s="4">
        <f>K34</f>
        <v>545</v>
      </c>
      <c r="H24" t="s">
        <v>4</v>
      </c>
    </row>
    <row r="25" spans="2:9" ht="18" x14ac:dyDescent="0.35">
      <c r="B25" s="5" t="s">
        <v>77</v>
      </c>
      <c r="C25" s="40">
        <v>448</v>
      </c>
      <c r="D25" t="s">
        <v>4</v>
      </c>
    </row>
    <row r="26" spans="2:9" ht="18" x14ac:dyDescent="0.35">
      <c r="B26" s="5" t="s">
        <v>78</v>
      </c>
      <c r="C26" s="40">
        <v>530</v>
      </c>
      <c r="D26" t="s">
        <v>4</v>
      </c>
    </row>
    <row r="27" spans="2:9" ht="18" x14ac:dyDescent="0.35">
      <c r="B27" s="5" t="s">
        <v>79</v>
      </c>
      <c r="C27" s="40">
        <v>545</v>
      </c>
      <c r="D27" t="s">
        <v>4</v>
      </c>
    </row>
    <row r="28" spans="2:9" ht="18" x14ac:dyDescent="0.35">
      <c r="B28" s="5" t="s">
        <v>80</v>
      </c>
      <c r="C28" s="40">
        <v>485</v>
      </c>
      <c r="D28" t="s">
        <v>4</v>
      </c>
    </row>
    <row r="29" spans="2:9" ht="18" x14ac:dyDescent="0.35">
      <c r="B29" s="28" t="s">
        <v>131</v>
      </c>
      <c r="C29" s="40">
        <v>331</v>
      </c>
      <c r="D29" t="s">
        <v>4</v>
      </c>
    </row>
    <row r="30" spans="2:9" ht="18" x14ac:dyDescent="0.35">
      <c r="B30" s="5" t="s">
        <v>81</v>
      </c>
      <c r="C30" s="40">
        <v>120</v>
      </c>
      <c r="D30" t="s">
        <v>4</v>
      </c>
    </row>
    <row r="31" spans="2:9" ht="18" x14ac:dyDescent="0.35">
      <c r="B31" t="s">
        <v>82</v>
      </c>
      <c r="C31" s="40">
        <v>0</v>
      </c>
      <c r="D31" t="s">
        <v>4</v>
      </c>
    </row>
    <row r="33" spans="2:19" x14ac:dyDescent="0.25">
      <c r="B33" s="1" t="s">
        <v>5</v>
      </c>
      <c r="J33" s="1" t="s">
        <v>5</v>
      </c>
    </row>
    <row r="34" spans="2:19" x14ac:dyDescent="0.25">
      <c r="J34" t="s">
        <v>130</v>
      </c>
      <c r="K34">
        <f>MAX(C21:C31)</f>
        <v>545</v>
      </c>
      <c r="L34" t="s">
        <v>4</v>
      </c>
    </row>
    <row r="35" spans="2:19" ht="18" x14ac:dyDescent="0.35">
      <c r="B35" s="35" t="s">
        <v>129</v>
      </c>
      <c r="F35" t="s">
        <v>106</v>
      </c>
      <c r="J35" s="10" t="s">
        <v>83</v>
      </c>
      <c r="K35">
        <f>C20/10</f>
        <v>28</v>
      </c>
      <c r="L35" t="s">
        <v>4</v>
      </c>
      <c r="N35" s="5"/>
      <c r="O35" s="3"/>
    </row>
    <row r="36" spans="2:19" ht="18.75" x14ac:dyDescent="0.35">
      <c r="B36" s="30" t="s">
        <v>86</v>
      </c>
      <c r="C36" s="34">
        <f>0.5*(C21+C22)</f>
        <v>56</v>
      </c>
      <c r="D36" s="17" t="s">
        <v>4</v>
      </c>
      <c r="F36" s="30" t="s">
        <v>108</v>
      </c>
      <c r="G36" s="34">
        <f t="shared" ref="G36:G44" si="0">G37+$K$35</f>
        <v>266</v>
      </c>
      <c r="H36" s="17" t="s">
        <v>4</v>
      </c>
      <c r="J36" t="s">
        <v>10</v>
      </c>
      <c r="K36" s="3">
        <f>SUM(C47:C56)</f>
        <v>87668</v>
      </c>
      <c r="L36" t="s">
        <v>11</v>
      </c>
    </row>
    <row r="37" spans="2:19" ht="18.75" x14ac:dyDescent="0.35">
      <c r="B37" s="31" t="s">
        <v>87</v>
      </c>
      <c r="C37" s="22">
        <f t="shared" ref="C37:C45" si="1">0.5*(C22+C23)</f>
        <v>168</v>
      </c>
      <c r="D37" s="20" t="s">
        <v>4</v>
      </c>
      <c r="F37" s="31" t="s">
        <v>109</v>
      </c>
      <c r="G37" s="22">
        <f t="shared" si="0"/>
        <v>238</v>
      </c>
      <c r="H37" s="20" t="s">
        <v>4</v>
      </c>
      <c r="J37" t="s">
        <v>12</v>
      </c>
      <c r="K37" s="3">
        <f>SUM(G47:G56)</f>
        <v>11687088</v>
      </c>
      <c r="L37" t="s">
        <v>13</v>
      </c>
    </row>
    <row r="38" spans="2:19" ht="18" x14ac:dyDescent="0.35">
      <c r="B38" s="31" t="s">
        <v>88</v>
      </c>
      <c r="C38" s="22">
        <f t="shared" si="1"/>
        <v>280</v>
      </c>
      <c r="D38" s="20" t="s">
        <v>4</v>
      </c>
      <c r="F38" s="31" t="s">
        <v>110</v>
      </c>
      <c r="G38" s="22">
        <f t="shared" si="0"/>
        <v>210</v>
      </c>
      <c r="H38" s="20" t="s">
        <v>4</v>
      </c>
      <c r="J38" s="2" t="s">
        <v>14</v>
      </c>
      <c r="K38" s="3">
        <f>K37/K36</f>
        <v>133.31076333439796</v>
      </c>
      <c r="L38" t="s">
        <v>4</v>
      </c>
    </row>
    <row r="39" spans="2:19" ht="18.75" x14ac:dyDescent="0.35">
      <c r="B39" s="31" t="s">
        <v>89</v>
      </c>
      <c r="C39" s="22">
        <f t="shared" si="1"/>
        <v>392</v>
      </c>
      <c r="D39" s="20" t="s">
        <v>4</v>
      </c>
      <c r="F39" s="31" t="s">
        <v>111</v>
      </c>
      <c r="G39" s="22">
        <f t="shared" si="0"/>
        <v>182</v>
      </c>
      <c r="H39" s="20" t="s">
        <v>4</v>
      </c>
      <c r="J39" t="s">
        <v>153</v>
      </c>
      <c r="K39" s="3">
        <f>SUM(K47:K56)+SUM(O47:O56)</f>
        <v>304012556.23038435</v>
      </c>
      <c r="L39" s="29" t="s">
        <v>16</v>
      </c>
      <c r="O39" s="3"/>
    </row>
    <row r="40" spans="2:19" ht="18.75" x14ac:dyDescent="0.35">
      <c r="B40" s="31" t="s">
        <v>90</v>
      </c>
      <c r="C40" s="22">
        <f t="shared" si="1"/>
        <v>489</v>
      </c>
      <c r="D40" s="20" t="s">
        <v>4</v>
      </c>
      <c r="F40" s="31" t="s">
        <v>112</v>
      </c>
      <c r="G40" s="22">
        <f t="shared" si="0"/>
        <v>154</v>
      </c>
      <c r="H40" s="20" t="s">
        <v>4</v>
      </c>
      <c r="J40" t="s">
        <v>57</v>
      </c>
      <c r="K40" s="3">
        <f>K39/K38</f>
        <v>2280480.199995528</v>
      </c>
      <c r="L40" t="s">
        <v>13</v>
      </c>
      <c r="O40" s="3"/>
    </row>
    <row r="41" spans="2:19" ht="18.75" x14ac:dyDescent="0.35">
      <c r="B41" s="31" t="s">
        <v>91</v>
      </c>
      <c r="C41" s="22">
        <f t="shared" si="1"/>
        <v>537.5</v>
      </c>
      <c r="D41" s="20" t="s">
        <v>4</v>
      </c>
      <c r="F41" s="31" t="s">
        <v>113</v>
      </c>
      <c r="G41" s="22">
        <f t="shared" si="0"/>
        <v>126</v>
      </c>
      <c r="H41" s="20" t="s">
        <v>4</v>
      </c>
      <c r="J41" t="s">
        <v>58</v>
      </c>
      <c r="K41">
        <f>K39/(C20-K38)</f>
        <v>2072493.9548456585</v>
      </c>
      <c r="L41" t="s">
        <v>13</v>
      </c>
      <c r="O41" s="3"/>
    </row>
    <row r="42" spans="2:19" ht="18" x14ac:dyDescent="0.35">
      <c r="B42" s="31" t="s">
        <v>92</v>
      </c>
      <c r="C42" s="22">
        <f t="shared" si="1"/>
        <v>515</v>
      </c>
      <c r="D42" s="20" t="s">
        <v>4</v>
      </c>
      <c r="F42" s="31" t="s">
        <v>114</v>
      </c>
      <c r="G42" s="22">
        <f t="shared" si="0"/>
        <v>98</v>
      </c>
      <c r="H42" s="20" t="s">
        <v>4</v>
      </c>
      <c r="J42" t="s">
        <v>60</v>
      </c>
      <c r="K42" s="3">
        <f>POWER(12*K39/K34,1/3)</f>
        <v>188.46270559489639</v>
      </c>
      <c r="L42" t="s">
        <v>4</v>
      </c>
      <c r="O42" s="3"/>
      <c r="S42" s="3"/>
    </row>
    <row r="43" spans="2:19" ht="18" x14ac:dyDescent="0.35">
      <c r="B43" s="32" t="s">
        <v>107</v>
      </c>
      <c r="C43" s="22">
        <f t="shared" si="1"/>
        <v>408</v>
      </c>
      <c r="D43" s="20" t="s">
        <v>4</v>
      </c>
      <c r="F43" s="32" t="s">
        <v>115</v>
      </c>
      <c r="G43" s="22">
        <f t="shared" si="0"/>
        <v>70</v>
      </c>
      <c r="H43" s="20" t="s">
        <v>4</v>
      </c>
      <c r="J43" t="s">
        <v>70</v>
      </c>
      <c r="K43" s="3">
        <f>POWER(6*K40/$K$34,0.5)</f>
        <v>158.44937373384602</v>
      </c>
      <c r="L43" t="s">
        <v>4</v>
      </c>
      <c r="O43" s="3"/>
      <c r="S43" s="3"/>
    </row>
    <row r="44" spans="2:19" ht="18" x14ac:dyDescent="0.35">
      <c r="B44" s="31" t="s">
        <v>93</v>
      </c>
      <c r="C44" s="22">
        <f t="shared" si="1"/>
        <v>225.5</v>
      </c>
      <c r="D44" s="20" t="s">
        <v>4</v>
      </c>
      <c r="F44" s="31" t="s">
        <v>116</v>
      </c>
      <c r="G44" s="22">
        <f t="shared" si="0"/>
        <v>42</v>
      </c>
      <c r="H44" s="20" t="s">
        <v>4</v>
      </c>
      <c r="J44" t="s">
        <v>71</v>
      </c>
      <c r="K44" s="3">
        <f>POWER(6*K41/$K$34,0.5)</f>
        <v>151.0511410394175</v>
      </c>
      <c r="L44" t="s">
        <v>4</v>
      </c>
      <c r="O44" s="3"/>
      <c r="S44" s="3"/>
    </row>
    <row r="45" spans="2:19" ht="18" x14ac:dyDescent="0.35">
      <c r="B45" s="24" t="s">
        <v>94</v>
      </c>
      <c r="C45" s="33">
        <f t="shared" si="1"/>
        <v>60</v>
      </c>
      <c r="D45" s="26" t="s">
        <v>4</v>
      </c>
      <c r="F45" s="24" t="s">
        <v>117</v>
      </c>
      <c r="G45" s="33">
        <f>0.5*K35</f>
        <v>14</v>
      </c>
      <c r="H45" s="26" t="s">
        <v>4</v>
      </c>
    </row>
    <row r="46" spans="2:19" ht="18" x14ac:dyDescent="0.35">
      <c r="B46" s="36" t="s">
        <v>95</v>
      </c>
      <c r="C46" s="3"/>
      <c r="F46" s="36" t="s">
        <v>127</v>
      </c>
      <c r="J46" s="39" t="s">
        <v>128</v>
      </c>
      <c r="N46" s="28" t="s">
        <v>142</v>
      </c>
    </row>
    <row r="47" spans="2:19" ht="18.75" x14ac:dyDescent="0.35">
      <c r="B47" s="30" t="s">
        <v>96</v>
      </c>
      <c r="C47" s="34">
        <f t="shared" ref="C47:C56" si="2">C36*$K$35</f>
        <v>1568</v>
      </c>
      <c r="D47" s="17" t="s">
        <v>11</v>
      </c>
      <c r="F47" s="38" t="s">
        <v>118</v>
      </c>
      <c r="G47" s="34">
        <f>C47*G36</f>
        <v>417088</v>
      </c>
      <c r="H47" s="17" t="s">
        <v>4</v>
      </c>
      <c r="J47" s="38" t="s">
        <v>132</v>
      </c>
      <c r="K47" s="34">
        <f t="shared" ref="K47:K56" si="3">(1/12)*C36*POWER($K$35,3)</f>
        <v>102442.66666666666</v>
      </c>
      <c r="L47" s="17" t="s">
        <v>16</v>
      </c>
      <c r="N47" s="38" t="s">
        <v>143</v>
      </c>
      <c r="O47" s="34">
        <f t="shared" ref="O47:O56" si="4">C47*POWER((G36-$K$38),2)</f>
        <v>27606887.770179436</v>
      </c>
      <c r="P47" s="17" t="s">
        <v>16</v>
      </c>
    </row>
    <row r="48" spans="2:19" ht="18.75" x14ac:dyDescent="0.35">
      <c r="B48" s="31" t="s">
        <v>97</v>
      </c>
      <c r="C48" s="22">
        <f t="shared" si="2"/>
        <v>4704</v>
      </c>
      <c r="D48" s="20" t="s">
        <v>11</v>
      </c>
      <c r="F48" s="32" t="s">
        <v>27</v>
      </c>
      <c r="G48" s="22">
        <f t="shared" ref="G48:G56" si="5">C48*G37</f>
        <v>1119552</v>
      </c>
      <c r="H48" s="20" t="s">
        <v>4</v>
      </c>
      <c r="J48" s="32" t="s">
        <v>133</v>
      </c>
      <c r="K48" s="22">
        <f t="shared" si="3"/>
        <v>307328</v>
      </c>
      <c r="L48" s="20" t="s">
        <v>16</v>
      </c>
      <c r="N48" s="32" t="s">
        <v>144</v>
      </c>
      <c r="O48" s="22">
        <f t="shared" si="4"/>
        <v>51555069.831138745</v>
      </c>
      <c r="P48" s="20" t="s">
        <v>16</v>
      </c>
    </row>
    <row r="49" spans="2:16" ht="18.75" x14ac:dyDescent="0.35">
      <c r="B49" s="31" t="s">
        <v>98</v>
      </c>
      <c r="C49" s="22">
        <f t="shared" si="2"/>
        <v>7840</v>
      </c>
      <c r="D49" s="20" t="s">
        <v>11</v>
      </c>
      <c r="F49" s="32" t="s">
        <v>119</v>
      </c>
      <c r="G49" s="22">
        <f t="shared" si="5"/>
        <v>1646400</v>
      </c>
      <c r="H49" s="20" t="s">
        <v>4</v>
      </c>
      <c r="J49" s="32" t="s">
        <v>134</v>
      </c>
      <c r="K49" s="22">
        <f t="shared" si="3"/>
        <v>512213.33333333331</v>
      </c>
      <c r="L49" s="20" t="s">
        <v>16</v>
      </c>
      <c r="N49" s="32" t="s">
        <v>145</v>
      </c>
      <c r="O49" s="22">
        <f t="shared" si="4"/>
        <v>46108913.919565327</v>
      </c>
      <c r="P49" s="20" t="s">
        <v>16</v>
      </c>
    </row>
    <row r="50" spans="2:16" ht="18.75" x14ac:dyDescent="0.35">
      <c r="B50" s="31" t="s">
        <v>99</v>
      </c>
      <c r="C50" s="22">
        <f t="shared" si="2"/>
        <v>10976</v>
      </c>
      <c r="D50" s="20" t="s">
        <v>11</v>
      </c>
      <c r="F50" s="32" t="s">
        <v>120</v>
      </c>
      <c r="G50" s="22">
        <f t="shared" si="5"/>
        <v>1997632</v>
      </c>
      <c r="H50" s="20" t="s">
        <v>4</v>
      </c>
      <c r="J50" s="32" t="s">
        <v>135</v>
      </c>
      <c r="K50" s="22">
        <f t="shared" si="3"/>
        <v>717098.66666666663</v>
      </c>
      <c r="L50" s="20" t="s">
        <v>16</v>
      </c>
      <c r="N50" s="32" t="s">
        <v>146</v>
      </c>
      <c r="O50" s="22">
        <f t="shared" si="4"/>
        <v>26020164.035459172</v>
      </c>
      <c r="P50" s="20" t="s">
        <v>16</v>
      </c>
    </row>
    <row r="51" spans="2:16" ht="18.75" x14ac:dyDescent="0.35">
      <c r="B51" s="31" t="s">
        <v>100</v>
      </c>
      <c r="C51" s="22">
        <f t="shared" si="2"/>
        <v>13692</v>
      </c>
      <c r="D51" s="20" t="s">
        <v>11</v>
      </c>
      <c r="F51" s="32" t="s">
        <v>121</v>
      </c>
      <c r="G51" s="22">
        <f t="shared" si="5"/>
        <v>2108568</v>
      </c>
      <c r="H51" s="20" t="s">
        <v>4</v>
      </c>
      <c r="J51" s="32" t="s">
        <v>136</v>
      </c>
      <c r="K51" s="22">
        <f t="shared" si="3"/>
        <v>894544</v>
      </c>
      <c r="L51" s="20" t="s">
        <v>16</v>
      </c>
      <c r="N51" s="32" t="s">
        <v>147</v>
      </c>
      <c r="O51" s="22">
        <f t="shared" si="4"/>
        <v>5860785.4830220556</v>
      </c>
      <c r="P51" s="20" t="s">
        <v>16</v>
      </c>
    </row>
    <row r="52" spans="2:16" ht="18.75" x14ac:dyDescent="0.35">
      <c r="B52" s="31" t="s">
        <v>101</v>
      </c>
      <c r="C52" s="22">
        <f t="shared" si="2"/>
        <v>15050</v>
      </c>
      <c r="D52" s="20" t="s">
        <v>11</v>
      </c>
      <c r="F52" s="32" t="s">
        <v>122</v>
      </c>
      <c r="G52" s="22">
        <f t="shared" si="5"/>
        <v>1896300</v>
      </c>
      <c r="H52" s="20" t="s">
        <v>4</v>
      </c>
      <c r="J52" s="32" t="s">
        <v>137</v>
      </c>
      <c r="K52" s="22">
        <f t="shared" si="3"/>
        <v>983266.66666666663</v>
      </c>
      <c r="L52" s="20" t="s">
        <v>16</v>
      </c>
      <c r="N52" s="32" t="s">
        <v>148</v>
      </c>
      <c r="O52" s="22">
        <f t="shared" si="4"/>
        <v>804381.27100024279</v>
      </c>
      <c r="P52" s="20" t="s">
        <v>16</v>
      </c>
    </row>
    <row r="53" spans="2:16" ht="18.75" x14ac:dyDescent="0.35">
      <c r="B53" s="31" t="s">
        <v>102</v>
      </c>
      <c r="C53" s="22">
        <f t="shared" si="2"/>
        <v>14420</v>
      </c>
      <c r="D53" s="20" t="s">
        <v>11</v>
      </c>
      <c r="F53" s="32" t="s">
        <v>123</v>
      </c>
      <c r="G53" s="22">
        <f t="shared" si="5"/>
        <v>1413160</v>
      </c>
      <c r="H53" s="20" t="s">
        <v>4</v>
      </c>
      <c r="J53" s="32" t="s">
        <v>138</v>
      </c>
      <c r="K53" s="22">
        <f t="shared" si="3"/>
        <v>942106.66666666663</v>
      </c>
      <c r="L53" s="20" t="s">
        <v>16</v>
      </c>
      <c r="N53" s="32" t="s">
        <v>149</v>
      </c>
      <c r="O53" s="22">
        <f t="shared" si="4"/>
        <v>17979577.104658391</v>
      </c>
      <c r="P53" s="20" t="s">
        <v>16</v>
      </c>
    </row>
    <row r="54" spans="2:16" ht="18.75" x14ac:dyDescent="0.35">
      <c r="B54" s="32" t="s">
        <v>103</v>
      </c>
      <c r="C54" s="22">
        <f t="shared" si="2"/>
        <v>11424</v>
      </c>
      <c r="D54" s="20" t="s">
        <v>11</v>
      </c>
      <c r="F54" s="32" t="s">
        <v>124</v>
      </c>
      <c r="G54" s="22">
        <f t="shared" si="5"/>
        <v>799680</v>
      </c>
      <c r="H54" s="20" t="s">
        <v>4</v>
      </c>
      <c r="J54" s="32" t="s">
        <v>139</v>
      </c>
      <c r="K54" s="22">
        <f t="shared" si="3"/>
        <v>746368</v>
      </c>
      <c r="L54" s="20" t="s">
        <v>16</v>
      </c>
      <c r="N54" s="32" t="s">
        <v>150</v>
      </c>
      <c r="O54" s="22">
        <f t="shared" si="4"/>
        <v>45790279.46151492</v>
      </c>
      <c r="P54" s="20" t="s">
        <v>16</v>
      </c>
    </row>
    <row r="55" spans="2:16" ht="18.75" x14ac:dyDescent="0.35">
      <c r="B55" s="31" t="s">
        <v>104</v>
      </c>
      <c r="C55" s="22">
        <f t="shared" si="2"/>
        <v>6314</v>
      </c>
      <c r="D55" s="20" t="s">
        <v>11</v>
      </c>
      <c r="F55" s="32" t="s">
        <v>125</v>
      </c>
      <c r="G55" s="22">
        <f t="shared" si="5"/>
        <v>265188</v>
      </c>
      <c r="H55" s="20" t="s">
        <v>4</v>
      </c>
      <c r="J55" s="32" t="s">
        <v>140</v>
      </c>
      <c r="K55" s="22">
        <f t="shared" si="3"/>
        <v>412514.66666666663</v>
      </c>
      <c r="L55" s="20" t="s">
        <v>16</v>
      </c>
      <c r="N55" s="32" t="s">
        <v>151</v>
      </c>
      <c r="O55" s="22">
        <f t="shared" si="4"/>
        <v>52643956.831485681</v>
      </c>
      <c r="P55" s="20" t="s">
        <v>16</v>
      </c>
    </row>
    <row r="56" spans="2:16" ht="18.75" x14ac:dyDescent="0.35">
      <c r="B56" s="24" t="s">
        <v>105</v>
      </c>
      <c r="C56" s="33">
        <f t="shared" si="2"/>
        <v>1680</v>
      </c>
      <c r="D56" s="26" t="s">
        <v>11</v>
      </c>
      <c r="F56" s="37" t="s">
        <v>126</v>
      </c>
      <c r="G56" s="33">
        <f t="shared" si="5"/>
        <v>23520</v>
      </c>
      <c r="H56" s="26" t="s">
        <v>4</v>
      </c>
      <c r="J56" s="37" t="s">
        <v>141</v>
      </c>
      <c r="K56" s="33">
        <f t="shared" si="3"/>
        <v>109760</v>
      </c>
      <c r="L56" s="26" t="s">
        <v>16</v>
      </c>
      <c r="N56" s="37" t="s">
        <v>152</v>
      </c>
      <c r="O56" s="33">
        <f t="shared" si="4"/>
        <v>23914897.85569369</v>
      </c>
      <c r="P56" s="26" t="s">
        <v>16</v>
      </c>
    </row>
  </sheetData>
  <sheetProtection algorithmName="SHA-512" hashValue="nj2ZEgClaW+j6qGlGQF4hW/cEpwKImhmFXnJtkhdOuOxI/+1p2gIY4Mv6rSq3LmpvC5REtpX2h8DrLUPyiGi+Q==" saltValue="dGBjpRtluUTt/Xt1MWQiLQ==" spinCount="100000" sheet="1" objects="1" scenarios="1"/>
  <protectedRanges>
    <protectedRange sqref="C20:C31" name="Område1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Contents</vt:lpstr>
      <vt:lpstr>Flanges</vt:lpstr>
      <vt:lpstr>H O profiles</vt:lpstr>
      <vt:lpstr>Z - Profiles</vt:lpstr>
      <vt:lpstr>W - profiles</vt:lpstr>
      <vt:lpstr>n - profiles (arc)</vt:lpstr>
      <vt:lpstr>Arbitrary compact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2014-05-22T07:37:10Z</dcterms:modified>
</cp:coreProperties>
</file>